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ВИКОНАВЧИЙ КОМІТЕТ\ЗАСІДАННЯ ВИКОНКОМУ\декабрь\23.12.2021\фінансові питання\5. бюжет 2021\"/>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(3)'!$A$1:$J$274</definedName>
  </definedNames>
  <calcPr calcId="191029" fullCalcOnLoad="1"/>
</workbook>
</file>

<file path=xl/calcChain.xml><?xml version="1.0" encoding="utf-8"?>
<calcChain xmlns="http://schemas.openxmlformats.org/spreadsheetml/2006/main">
  <c r="I208" i="7" l="1"/>
  <c r="J208" i="7"/>
  <c r="I215" i="7"/>
  <c r="I192" i="7"/>
  <c r="I238" i="7"/>
  <c r="H154" i="7"/>
  <c r="I88" i="7"/>
  <c r="I230" i="7"/>
  <c r="I226" i="7"/>
  <c r="I223" i="7"/>
  <c r="I219" i="7"/>
  <c r="G219" i="7"/>
  <c r="I198" i="7"/>
  <c r="J48" i="7"/>
  <c r="H257" i="7"/>
  <c r="J226" i="7"/>
  <c r="J84" i="7"/>
  <c r="H205" i="7"/>
  <c r="G230" i="7"/>
  <c r="G223" i="7"/>
  <c r="I194" i="7"/>
  <c r="I245" i="7"/>
  <c r="I36" i="7"/>
  <c r="H228" i="7"/>
  <c r="G245" i="7"/>
  <c r="J36" i="7"/>
  <c r="J15" i="7"/>
  <c r="H95" i="7"/>
  <c r="J223" i="7"/>
  <c r="J194" i="7"/>
  <c r="G257" i="7"/>
  <c r="I239" i="7"/>
  <c r="I222" i="7"/>
  <c r="I199" i="7"/>
  <c r="I224" i="7"/>
  <c r="H108" i="7"/>
  <c r="G108" i="7"/>
  <c r="H84" i="7"/>
  <c r="G84" i="7"/>
  <c r="G239" i="7"/>
  <c r="I236" i="7"/>
  <c r="H211" i="7"/>
  <c r="I196" i="7"/>
  <c r="G196" i="7"/>
  <c r="H168" i="7"/>
  <c r="H35" i="7"/>
  <c r="I203" i="7"/>
  <c r="J203" i="7"/>
  <c r="H213" i="7"/>
  <c r="I244" i="7"/>
  <c r="I29" i="7"/>
  <c r="J29" i="7"/>
  <c r="H126" i="7"/>
  <c r="G222" i="7"/>
  <c r="H88" i="7"/>
  <c r="G88" i="7"/>
  <c r="H134" i="7"/>
  <c r="G134" i="7"/>
  <c r="H48" i="7"/>
  <c r="H29" i="7"/>
  <c r="I41" i="7"/>
  <c r="H41" i="7"/>
  <c r="G41" i="7"/>
  <c r="G205" i="7"/>
  <c r="H229" i="7"/>
  <c r="H208" i="7"/>
  <c r="I225" i="7"/>
  <c r="J225" i="7"/>
  <c r="G228" i="7"/>
  <c r="G184" i="7"/>
  <c r="H156" i="7"/>
  <c r="I251" i="7"/>
  <c r="J251" i="7"/>
  <c r="H79" i="7"/>
  <c r="H71" i="7"/>
  <c r="G71" i="7"/>
  <c r="H210" i="7"/>
  <c r="G210" i="7"/>
  <c r="J263" i="7"/>
  <c r="G263" i="7"/>
  <c r="H262" i="7"/>
  <c r="I235" i="7"/>
  <c r="G235" i="7"/>
  <c r="I217" i="7"/>
  <c r="G217" i="7"/>
  <c r="I80" i="7"/>
  <c r="I214" i="7"/>
  <c r="G214" i="7"/>
  <c r="G213" i="7"/>
  <c r="H209" i="7"/>
  <c r="H192" i="7"/>
  <c r="H172" i="7"/>
  <c r="H155" i="7"/>
  <c r="H151" i="7"/>
  <c r="G151" i="7"/>
  <c r="H152" i="7"/>
  <c r="H150" i="7"/>
  <c r="G150" i="7"/>
  <c r="J257" i="7"/>
  <c r="J207" i="7"/>
  <c r="G126" i="7"/>
  <c r="H120" i="7"/>
  <c r="J118" i="7"/>
  <c r="J111" i="7"/>
  <c r="I118" i="7"/>
  <c r="H116" i="7"/>
  <c r="G116" i="7"/>
  <c r="H118" i="7"/>
  <c r="G118" i="7"/>
  <c r="H113" i="7"/>
  <c r="H112" i="7"/>
  <c r="G112" i="7"/>
  <c r="G229" i="7"/>
  <c r="H106" i="7"/>
  <c r="G106" i="7"/>
  <c r="G95" i="7"/>
  <c r="J22" i="7"/>
  <c r="J197" i="7"/>
  <c r="G197" i="7"/>
  <c r="I234" i="7"/>
  <c r="J234" i="7"/>
  <c r="G234" i="7"/>
  <c r="I206" i="7"/>
  <c r="G206" i="7"/>
  <c r="H135" i="7"/>
  <c r="G135" i="7"/>
  <c r="H124" i="7"/>
  <c r="G124" i="7"/>
  <c r="H123" i="7"/>
  <c r="G123" i="7"/>
  <c r="H96" i="7"/>
  <c r="I23" i="7"/>
  <c r="H23" i="7"/>
  <c r="H15" i="7"/>
  <c r="H36" i="7"/>
  <c r="G36" i="7"/>
  <c r="H78" i="7"/>
  <c r="J218" i="7"/>
  <c r="G218" i="7"/>
  <c r="H204" i="7"/>
  <c r="G204" i="7"/>
  <c r="H216" i="7"/>
  <c r="G216" i="7"/>
  <c r="G244" i="7"/>
  <c r="J244" i="7"/>
  <c r="H212" i="7"/>
  <c r="G212" i="7"/>
  <c r="G236" i="7"/>
  <c r="J148" i="7"/>
  <c r="J146" i="7"/>
  <c r="H148" i="7"/>
  <c r="G148" i="7"/>
  <c r="H90" i="7"/>
  <c r="H83" i="7"/>
  <c r="G83" i="7"/>
  <c r="I134" i="7"/>
  <c r="I111" i="7"/>
  <c r="J235" i="7"/>
  <c r="G78" i="7"/>
  <c r="J258" i="7"/>
  <c r="G77" i="7"/>
  <c r="H241" i="7"/>
  <c r="J245" i="7"/>
  <c r="J248" i="7"/>
  <c r="G248" i="7"/>
  <c r="G87" i="7"/>
  <c r="J237" i="7"/>
  <c r="G237" i="7"/>
  <c r="G35" i="7"/>
  <c r="G199" i="7"/>
  <c r="G225" i="7"/>
  <c r="H75" i="7"/>
  <c r="G75" i="7"/>
  <c r="I48" i="7"/>
  <c r="G48" i="7"/>
  <c r="I46" i="7"/>
  <c r="G46" i="7"/>
  <c r="I47" i="7"/>
  <c r="G47" i="7"/>
  <c r="I221" i="7"/>
  <c r="G221" i="7"/>
  <c r="G209" i="7"/>
  <c r="H100" i="7"/>
  <c r="G100" i="7"/>
  <c r="J228" i="7"/>
  <c r="J260" i="7"/>
  <c r="G240" i="7"/>
  <c r="G44" i="7"/>
  <c r="G267" i="7"/>
  <c r="I45" i="7"/>
  <c r="G45" i="7"/>
  <c r="I168" i="7"/>
  <c r="G168" i="7"/>
  <c r="H158" i="7"/>
  <c r="G158" i="7"/>
  <c r="G211" i="7"/>
  <c r="G224" i="7"/>
  <c r="G99" i="7"/>
  <c r="I207" i="7"/>
  <c r="G207" i="7"/>
  <c r="J211" i="7"/>
  <c r="J227" i="7"/>
  <c r="G227" i="7"/>
  <c r="J201" i="7"/>
  <c r="J231" i="7"/>
  <c r="J259" i="7"/>
  <c r="G107" i="7"/>
  <c r="J181" i="7"/>
  <c r="J174" i="7"/>
  <c r="G193" i="7"/>
  <c r="J41" i="7"/>
  <c r="J265" i="7"/>
  <c r="J110" i="7"/>
  <c r="G110" i="7"/>
  <c r="J202" i="7"/>
  <c r="J193" i="7"/>
  <c r="G202" i="7"/>
  <c r="J85" i="7"/>
  <c r="J173" i="7"/>
  <c r="J220" i="7"/>
  <c r="J195" i="7"/>
  <c r="J266" i="7"/>
  <c r="J255" i="7"/>
  <c r="J183" i="7"/>
  <c r="J238" i="7"/>
  <c r="G85" i="7"/>
  <c r="G266" i="7"/>
  <c r="G265" i="7"/>
  <c r="G264" i="7"/>
  <c r="G262" i="7"/>
  <c r="G261" i="7"/>
  <c r="G260" i="7"/>
  <c r="G259" i="7"/>
  <c r="G258" i="7"/>
  <c r="G254" i="7"/>
  <c r="I253" i="7"/>
  <c r="G253" i="7"/>
  <c r="H253" i="7"/>
  <c r="G252" i="7"/>
  <c r="G250" i="7"/>
  <c r="G249" i="7"/>
  <c r="G247" i="7"/>
  <c r="I246" i="7"/>
  <c r="H246" i="7"/>
  <c r="G246" i="7"/>
  <c r="H243" i="7"/>
  <c r="G243" i="7"/>
  <c r="G242" i="7"/>
  <c r="G233" i="7"/>
  <c r="G232" i="7"/>
  <c r="G231" i="7"/>
  <c r="G220" i="7"/>
  <c r="G201" i="7"/>
  <c r="G200" i="7"/>
  <c r="G195" i="7"/>
  <c r="G191" i="7"/>
  <c r="G190" i="7"/>
  <c r="G189" i="7"/>
  <c r="G188" i="7"/>
  <c r="G187" i="7"/>
  <c r="G186" i="7"/>
  <c r="G185" i="7"/>
  <c r="G238" i="7"/>
  <c r="G183" i="7"/>
  <c r="G182" i="7"/>
  <c r="G181" i="7"/>
  <c r="G180" i="7"/>
  <c r="G179" i="7"/>
  <c r="G178" i="7"/>
  <c r="G177" i="7"/>
  <c r="G176" i="7"/>
  <c r="G175" i="7"/>
  <c r="G174" i="7"/>
  <c r="G173" i="7"/>
  <c r="G171" i="7"/>
  <c r="H170" i="7"/>
  <c r="G167" i="7"/>
  <c r="G166" i="7"/>
  <c r="G165" i="7"/>
  <c r="J164" i="7"/>
  <c r="I164" i="7"/>
  <c r="G164" i="7"/>
  <c r="G163" i="7"/>
  <c r="G162" i="7"/>
  <c r="J161" i="7"/>
  <c r="I161" i="7"/>
  <c r="G161" i="7"/>
  <c r="G153" i="7"/>
  <c r="G160" i="7"/>
  <c r="J159" i="7"/>
  <c r="I159" i="7"/>
  <c r="I158" i="7"/>
  <c r="J158" i="7"/>
  <c r="G157" i="7"/>
  <c r="G156" i="7"/>
  <c r="G154" i="7"/>
  <c r="J150" i="7"/>
  <c r="I150" i="7"/>
  <c r="G149" i="7"/>
  <c r="I146" i="7"/>
  <c r="G147" i="7"/>
  <c r="G145" i="7"/>
  <c r="G144" i="7"/>
  <c r="G143" i="7"/>
  <c r="G142" i="7"/>
  <c r="G141" i="7"/>
  <c r="G140" i="7"/>
  <c r="G139" i="7"/>
  <c r="G138" i="7"/>
  <c r="G137" i="7"/>
  <c r="G136" i="7"/>
  <c r="G133" i="7"/>
  <c r="G132" i="7"/>
  <c r="G131" i="7"/>
  <c r="G130" i="7"/>
  <c r="G129" i="7"/>
  <c r="G128" i="7"/>
  <c r="G127" i="7"/>
  <c r="G125" i="7"/>
  <c r="G122" i="7"/>
  <c r="G121" i="7"/>
  <c r="G120" i="7"/>
  <c r="G119" i="7"/>
  <c r="G117" i="7"/>
  <c r="G115" i="7"/>
  <c r="G114" i="7"/>
  <c r="G113" i="7"/>
  <c r="J112" i="7"/>
  <c r="I112" i="7"/>
  <c r="G109" i="7"/>
  <c r="G105" i="7"/>
  <c r="G104" i="7"/>
  <c r="G103" i="7"/>
  <c r="G102" i="7"/>
  <c r="G101" i="7"/>
  <c r="G98" i="7"/>
  <c r="G97" i="7"/>
  <c r="G96" i="7"/>
  <c r="G94" i="7"/>
  <c r="G93" i="7"/>
  <c r="G92" i="7"/>
  <c r="G91" i="7"/>
  <c r="G89" i="7"/>
  <c r="G86" i="7"/>
  <c r="I83" i="7"/>
  <c r="G82" i="7"/>
  <c r="G81" i="7"/>
  <c r="G76" i="7"/>
  <c r="G73" i="7"/>
  <c r="G72" i="7"/>
  <c r="I71" i="7"/>
  <c r="G70" i="7"/>
  <c r="G69" i="7"/>
  <c r="G68" i="7"/>
  <c r="G67" i="7"/>
  <c r="G66" i="7"/>
  <c r="G65" i="7"/>
  <c r="G64" i="7"/>
  <c r="G63" i="7"/>
  <c r="G62" i="7"/>
  <c r="G61" i="7"/>
  <c r="G60" i="7"/>
  <c r="G59" i="7"/>
  <c r="G58" i="7"/>
  <c r="G57" i="7"/>
  <c r="G56" i="7"/>
  <c r="G55" i="7"/>
  <c r="G54" i="7"/>
  <c r="G53" i="7"/>
  <c r="G52" i="7"/>
  <c r="I51" i="7"/>
  <c r="H51" i="7"/>
  <c r="G51" i="7"/>
  <c r="G50" i="7"/>
  <c r="G49" i="7"/>
  <c r="G43" i="7"/>
  <c r="G42" i="7"/>
  <c r="G40" i="7"/>
  <c r="G39" i="7"/>
  <c r="G38" i="7"/>
  <c r="G37" i="7"/>
  <c r="G34" i="7"/>
  <c r="G33" i="7"/>
  <c r="G32" i="7"/>
  <c r="G31" i="7"/>
  <c r="G30" i="7"/>
  <c r="G28" i="7"/>
  <c r="G27" i="7"/>
  <c r="G26" i="7"/>
  <c r="G25" i="7"/>
  <c r="G24" i="7"/>
  <c r="G22" i="7"/>
  <c r="G21" i="7"/>
  <c r="G20" i="7"/>
  <c r="G19" i="7"/>
  <c r="G18" i="7"/>
  <c r="H17" i="7"/>
  <c r="G17" i="7"/>
  <c r="G16" i="7"/>
  <c r="G203" i="7"/>
  <c r="I256" i="7"/>
  <c r="I255" i="7"/>
  <c r="G256" i="7"/>
  <c r="J134" i="7"/>
  <c r="J206" i="7"/>
  <c r="G23" i="7"/>
  <c r="H146" i="7"/>
  <c r="G146" i="7"/>
  <c r="G90" i="7"/>
  <c r="J221" i="7"/>
  <c r="J236" i="7"/>
  <c r="J219" i="7"/>
  <c r="H74" i="7"/>
  <c r="G74" i="7"/>
  <c r="J224" i="7"/>
  <c r="J199" i="7"/>
  <c r="J80" i="7"/>
  <c r="I241" i="7"/>
  <c r="G241" i="7"/>
  <c r="G29" i="7"/>
  <c r="J214" i="7"/>
  <c r="G155" i="7"/>
  <c r="J88" i="7"/>
  <c r="H255" i="7"/>
  <c r="G255" i="7"/>
  <c r="J196" i="7"/>
  <c r="I170" i="7"/>
  <c r="G170" i="7"/>
  <c r="J168" i="7"/>
  <c r="J217" i="7"/>
  <c r="G79" i="7"/>
  <c r="J222" i="7"/>
  <c r="H80" i="7"/>
  <c r="G80" i="7"/>
  <c r="H111" i="7"/>
  <c r="G111" i="7"/>
  <c r="G152" i="7"/>
  <c r="G251" i="7"/>
  <c r="G198" i="7"/>
  <c r="H159" i="7"/>
  <c r="G159" i="7"/>
  <c r="J198" i="7"/>
  <c r="G194" i="7"/>
  <c r="J241" i="7"/>
  <c r="I15" i="7"/>
  <c r="G15" i="7"/>
  <c r="J230" i="7"/>
  <c r="G226" i="7"/>
  <c r="G208" i="7"/>
  <c r="H268" i="7"/>
  <c r="I172" i="7"/>
  <c r="G172" i="7"/>
  <c r="I268" i="7"/>
  <c r="G268" i="7"/>
  <c r="G215" i="7"/>
  <c r="G192" i="7"/>
  <c r="J215" i="7"/>
  <c r="J192" i="7"/>
  <c r="J268" i="7"/>
</calcChain>
</file>

<file path=xl/sharedStrings.xml><?xml version="1.0" encoding="utf-8"?>
<sst xmlns="http://schemas.openxmlformats.org/spreadsheetml/2006/main" count="1214" uniqueCount="665">
  <si>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</si>
  <si>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</si>
  <si>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</si>
  <si>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</si>
  <si>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</si>
  <si>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</si>
  <si>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</si>
  <si>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</si>
  <si>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</si>
  <si>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</si>
  <si>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</si>
  <si>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</si>
  <si>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</si>
  <si>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</si>
  <si>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</si>
  <si>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</si>
  <si>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</si>
  <si>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</si>
  <si>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</si>
  <si>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</si>
  <si>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</si>
  <si>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</si>
  <si>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</si>
  <si>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</si>
  <si>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</si>
  <si>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</si>
  <si>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</si>
  <si>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</si>
  <si>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</si>
  <si>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</si>
  <si>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</si>
  <si>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</si>
  <si>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</si>
  <si>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</si>
  <si>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</si>
  <si>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</si>
  <si>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</si>
  <si>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</si>
  <si>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</si>
  <si>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</si>
  <si>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</si>
  <si>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</si>
  <si>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</si>
  <si>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</si>
  <si>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</si>
  <si>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</si>
  <si>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</si>
  <si>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</si>
  <si>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</si>
  <si>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</si>
  <si>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</si>
  <si>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</si>
  <si>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</si>
  <si>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</si>
  <si>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</si>
  <si>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</si>
  <si>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</si>
  <si>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</si>
  <si>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</si>
  <si>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</si>
  <si>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</si>
  <si>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</si>
  <si>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</si>
  <si>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</si>
  <si>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</si>
  <si>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</si>
  <si>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</si>
  <si>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</si>
  <si>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</si>
  <si>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</si>
  <si>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</si>
  <si>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</si>
  <si>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</si>
  <si>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</si>
  <si>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</si>
  <si>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</si>
  <si>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</si>
  <si>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</si>
  <si>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</si>
  <si>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</si>
  <si>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</si>
  <si>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</si>
  <si>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</si>
  <si>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</si>
  <si>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Заходи з енергозбереження</t>
  </si>
  <si>
    <t>4018600</t>
  </si>
  <si>
    <t>3202</t>
  </si>
  <si>
    <t>7810</t>
  </si>
  <si>
    <t>8600</t>
  </si>
  <si>
    <t>3140</t>
  </si>
  <si>
    <t>5011</t>
  </si>
  <si>
    <t>3201</t>
  </si>
  <si>
    <t>6010</t>
  </si>
  <si>
    <t>6060</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</si>
  <si>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</si>
  <si>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</si>
  <si>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</si>
  <si>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</si>
  <si>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</si>
  <si>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</si>
  <si>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</si>
  <si>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</si>
  <si>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</si>
  <si>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</si>
  <si>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</si>
  <si>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</si>
  <si>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</si>
  <si>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</si>
  <si>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</si>
  <si>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</si>
  <si>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</si>
  <si>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</si>
  <si>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</si>
  <si>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</si>
  <si>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</si>
  <si>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</si>
  <si>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</si>
  <si>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</si>
  <si>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</si>
  <si>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</si>
  <si>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</si>
  <si>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</si>
  <si>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</si>
  <si>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</si>
  <si>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</si>
  <si>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</si>
  <si>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</si>
  <si>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</si>
  <si>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</si>
  <si>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</si>
  <si>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</si>
  <si>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</si>
  <si>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</si>
  <si>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</si>
  <si>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</si>
  <si>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</si>
  <si>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</si>
  <si>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</si>
  <si>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</si>
  <si>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</si>
  <si>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</si>
  <si>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</si>
  <si>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</si>
  <si>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</si>
  <si>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</si>
  <si>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</si>
  <si>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</si>
  <si>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</si>
  <si>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</si>
  <si>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</si>
  <si>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</si>
  <si>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</si>
  <si>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</si>
  <si>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</si>
  <si>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</si>
  <si>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</si>
  <si>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</si>
  <si>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</si>
  <si>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</si>
  <si>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</si>
  <si>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</si>
  <si>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</si>
  <si>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</si>
  <si>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</si>
  <si>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</si>
  <si>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</si>
  <si>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</si>
  <si>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</si>
  <si>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</si>
  <si>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</si>
  <si>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</si>
  <si>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</si>
  <si>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</si>
  <si>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</si>
  <si>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</si>
  <si>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</si>
  <si>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</si>
  <si>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</si>
  <si>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</si>
  <si>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</si>
  <si>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</si>
  <si>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</si>
  <si>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</si>
  <si>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</si>
  <si>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</si>
  <si>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</si>
  <si>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</si>
  <si>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</si>
  <si>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</si>
  <si>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</si>
  <si>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</si>
  <si>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</si>
  <si>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</si>
  <si>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</si>
  <si>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</si>
  <si>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</si>
  <si>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</si>
  <si>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</si>
  <si>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</si>
  <si>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</si>
  <si>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</si>
  <si>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</si>
  <si>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</si>
  <si>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</si>
  <si>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</si>
  <si>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</si>
  <si>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</si>
  <si>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</si>
  <si>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</si>
  <si>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</si>
  <si>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</si>
  <si>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</si>
  <si>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</si>
  <si>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7461</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</si>
  <si>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</si>
  <si>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</si>
  <si>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</si>
  <si>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</si>
  <si>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</si>
  <si>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</si>
  <si>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</si>
  <si>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</si>
  <si>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</si>
  <si>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</si>
  <si>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</si>
  <si>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</si>
  <si>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</si>
  <si>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1512110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</si>
  <si>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</si>
  <si>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</si>
  <si>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</si>
  <si>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</si>
  <si>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</si>
  <si>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</si>
  <si>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</si>
  <si>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</si>
  <si>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</si>
  <si>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</si>
  <si>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</si>
  <si>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</si>
  <si>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</si>
  <si>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</si>
  <si>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</si>
  <si>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</si>
  <si>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</si>
  <si>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</si>
  <si>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</si>
  <si>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</si>
  <si>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</si>
  <si>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</si>
  <si>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</si>
  <si>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</si>
  <si>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</si>
  <si>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</si>
  <si>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</si>
  <si>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</si>
  <si>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</si>
  <si>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</si>
  <si>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</si>
  <si>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</si>
  <si>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</si>
  <si>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</si>
  <si>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</si>
  <si>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</si>
  <si>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</si>
  <si>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</si>
  <si>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</si>
  <si>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</si>
  <si>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</si>
  <si>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</si>
  <si>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</si>
  <si>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</si>
  <si>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</si>
  <si>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</si>
  <si>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</si>
  <si>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</si>
  <si>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</si>
  <si>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</si>
  <si>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</si>
  <si>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</si>
  <si>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</si>
  <si>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</si>
  <si>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</si>
  <si>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</si>
  <si>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</si>
  <si>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</si>
  <si>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</si>
  <si>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</si>
  <si>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</si>
  <si>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</si>
  <si>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3116082</t>
  </si>
  <si>
    <t>6082</t>
  </si>
  <si>
    <t>0610</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</si>
  <si>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</si>
  <si>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</si>
  <si>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</si>
  <si>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</si>
  <si>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</si>
  <si>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</si>
  <si>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</si>
  <si>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</si>
  <si>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</si>
  <si>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</si>
  <si>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</si>
  <si>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</si>
  <si>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</si>
  <si>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</si>
  <si>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</si>
  <si>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</si>
  <si>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</si>
  <si>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</si>
  <si>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</si>
  <si>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</si>
  <si>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</si>
  <si>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</si>
  <si>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</si>
  <si>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</si>
  <si>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</si>
  <si>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</si>
  <si>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</si>
  <si>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</si>
  <si>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</si>
  <si>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</si>
  <si>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</si>
  <si>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</si>
  <si>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</si>
  <si>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</si>
  <si>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</si>
  <si>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</si>
  <si>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</si>
  <si>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</si>
  <si>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</si>
  <si>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</si>
  <si>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</si>
  <si>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</si>
  <si>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</si>
  <si>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</si>
  <si>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</si>
  <si>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</si>
  <si>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</si>
  <si>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</si>
  <si>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</si>
  <si>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</si>
  <si>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</si>
  <si>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</si>
  <si>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</si>
  <si>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</si>
  <si>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</si>
  <si>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</si>
  <si>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</si>
  <si>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</si>
  <si>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</si>
  <si>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</si>
  <si>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</si>
  <si>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</si>
  <si>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</si>
  <si>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</si>
  <si>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</si>
  <si>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</si>
  <si>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</si>
  <si>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</si>
  <si>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</si>
  <si>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</si>
  <si>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</si>
  <si>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</si>
  <si>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</si>
  <si>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</si>
  <si>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</si>
  <si>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</si>
  <si>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</si>
  <si>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</si>
  <si>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</si>
  <si>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</si>
  <si>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</si>
  <si>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</si>
  <si>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</si>
  <si>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</si>
  <si>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</si>
  <si>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</si>
  <si>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</si>
  <si>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</si>
  <si>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</si>
  <si>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</si>
  <si>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</si>
  <si>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</si>
  <si>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</si>
  <si>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</si>
  <si>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</si>
  <si>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</si>
  <si>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</si>
  <si>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</si>
  <si>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</si>
  <si>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</si>
  <si>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</si>
  <si>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</si>
  <si>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</si>
  <si>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</si>
  <si>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</si>
  <si>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</si>
  <si>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</si>
  <si>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</si>
  <si>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</si>
  <si>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</si>
  <si>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</si>
  <si>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</si>
  <si>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</si>
  <si>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</si>
  <si>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</si>
  <si>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</si>
  <si>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</si>
  <si>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</si>
  <si>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</si>
  <si>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</si>
  <si>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</si>
  <si>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</si>
  <si>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</si>
  <si>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</si>
  <si>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</si>
  <si>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</si>
  <si>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</si>
  <si>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</si>
  <si>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</si>
  <si>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</si>
  <si>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</si>
  <si>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</si>
  <si>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</si>
  <si>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</si>
  <si>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</si>
  <si>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</si>
  <si>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</si>
  <si>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</si>
  <si>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</si>
  <si>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</si>
  <si>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</si>
  <si>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</si>
  <si>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</si>
  <si>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</si>
  <si>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</si>
  <si>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</si>
  <si>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</si>
  <si>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</si>
  <si>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</si>
  <si>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</si>
  <si>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</si>
  <si>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</si>
  <si>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</si>
  <si>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</si>
  <si>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</si>
  <si>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</si>
  <si>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</si>
  <si>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</si>
  <si>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</si>
  <si>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</si>
  <si>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</si>
  <si>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</si>
  <si>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</si>
  <si>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</si>
  <si>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</si>
  <si>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</si>
  <si>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</si>
  <si>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</si>
  <si>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</si>
  <si>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</si>
  <si>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</si>
  <si>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</si>
  <si>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</si>
  <si>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</si>
  <si>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</si>
  <si>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</si>
  <si>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</si>
  <si>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</si>
  <si>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Утримання та навчально-тренувальна робота комунальних дитячо-юнацьких спортивних шкіл</t>
  </si>
  <si>
    <t>1515031</t>
  </si>
  <si>
    <t>5031</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</si>
  <si>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</si>
  <si>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</si>
  <si>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</si>
  <si>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</si>
  <si>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</si>
  <si>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</si>
  <si>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1517369</t>
  </si>
  <si>
    <t>7369</t>
  </si>
  <si>
    <t>Реалізація проектів з реконструкції, капітального ремонту приймальних відділень в опорних закладах охорони здоров'я у госпітальних округах</t>
  </si>
  <si>
    <t xml:space="preserve">Міська програма «Фінансова підтримка комунальної установи «Водно-спортивний комплекс» Мелітопольської міської ради Запорізької області» </t>
  </si>
  <si>
    <t>08568000000</t>
  </si>
  <si>
    <t>Начальник фінансового управління Мелітопольської міської ради</t>
  </si>
  <si>
    <t>Яна ЧАБАН</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</si>
  <si>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</si>
  <si>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</si>
  <si>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</si>
  <si>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</si>
  <si>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</si>
  <si>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"Соціальне таксі"</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</si>
  <si>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</si>
  <si>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</si>
  <si>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</si>
  <si>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витрат місцевого бюджету на реалізацію місцевих/регіональних програм у 2021 році</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</si>
  <si>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</si>
  <si>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</si>
  <si>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</si>
  <si>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</si>
  <si>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Міська  програма "Покращення діагностики та профілактики злоякісних новоутворень жіночого та чоловічого населення  м. Мелітополя"</t>
  </si>
  <si>
    <t>17.12.2020 № 7/1</t>
  </si>
  <si>
    <t>17.12.2020 № 7/2</t>
  </si>
  <si>
    <t>17.12.2020 № 7/3</t>
  </si>
  <si>
    <t>17.12.2020 № 7/4</t>
  </si>
  <si>
    <t>17.12.2020 № 7/5</t>
  </si>
  <si>
    <t>17.12.2020 № 7/6</t>
  </si>
  <si>
    <t>17.12.2020 № 7/7</t>
  </si>
  <si>
    <t>17.12.2020 № 7/8</t>
  </si>
  <si>
    <t>17.12.2020 № 7/9</t>
  </si>
  <si>
    <t>17.12.2020 № 7/10</t>
  </si>
  <si>
    <t>17.12.2020 № 7/11</t>
  </si>
  <si>
    <t>17.12.2020 № 7/12</t>
  </si>
  <si>
    <t>17.12.2020 № 7/13</t>
  </si>
  <si>
    <t>17.12.2020 № 7/14</t>
  </si>
  <si>
    <t>17.12.2020 № 7/15</t>
  </si>
  <si>
    <t>17.12.2020 № 7/16</t>
  </si>
  <si>
    <t>17.12.2020 № 7/17</t>
  </si>
  <si>
    <t>17.12.2020 № 7/18</t>
  </si>
  <si>
    <t>17.12.2020 № 7/19</t>
  </si>
  <si>
    <t>17.12.2020 № 7/20</t>
  </si>
  <si>
    <t>17.12.2020 № 7/21</t>
  </si>
  <si>
    <t>17.12.2020 № 7/22</t>
  </si>
  <si>
    <t>17.12.2020 № 7/23</t>
  </si>
  <si>
    <t>17.12.2020 № 7/24</t>
  </si>
  <si>
    <t>17.12.2020 № 7/25</t>
  </si>
  <si>
    <t>17.12.2020 № 7/26</t>
  </si>
  <si>
    <t>17.12.2020 № 7/27</t>
  </si>
  <si>
    <t>17.12.2020 № 7/28</t>
  </si>
  <si>
    <t>17.12.2020 № 7/29</t>
  </si>
  <si>
    <t>17.12.2020 № 7/30</t>
  </si>
  <si>
    <t>17.12.2020 № 7/31</t>
  </si>
  <si>
    <t>17.12.2020 № 7/32</t>
  </si>
  <si>
    <t>17.12.2020 № 7/33</t>
  </si>
  <si>
    <t>17.12.2020 № 7/35</t>
  </si>
  <si>
    <t>17.12.2020 № 7/36</t>
  </si>
  <si>
    <t>17.12.2020 № 7/37</t>
  </si>
  <si>
    <t>17.12.2020 № 7/38</t>
  </si>
  <si>
    <t>17.12.2020 № 7/39</t>
  </si>
  <si>
    <t>17.12.2020 № 7/40</t>
  </si>
  <si>
    <t>17.12.2020 № 7/41</t>
  </si>
  <si>
    <t>17.12.2020 № 7/42</t>
  </si>
  <si>
    <t>17.12.2020 № 7/43</t>
  </si>
  <si>
    <t>17.12.2020 № 7/44</t>
  </si>
  <si>
    <t>17.12.2020 № 7/45</t>
  </si>
  <si>
    <t>17.12.2020 № 7/46</t>
  </si>
  <si>
    <t>17.12.2020 № 7/47</t>
  </si>
  <si>
    <t>17.12.2020 № 7/48</t>
  </si>
  <si>
    <t>17.12.2020 № 7/49</t>
  </si>
  <si>
    <t>17.12.2020 № 7/50</t>
  </si>
  <si>
    <t>17.12.2020 № 7/51</t>
  </si>
  <si>
    <t>17.12.2020 № 7/58</t>
  </si>
  <si>
    <t>17.12.2020 № 7/63</t>
  </si>
  <si>
    <t>17.12.2020 № 7/64</t>
  </si>
  <si>
    <t>17.12.2020 № 7/65</t>
  </si>
  <si>
    <t>17.12.2020 № 7/66</t>
  </si>
  <si>
    <t>17.12.2020 № 7/67</t>
  </si>
  <si>
    <t>1013133</t>
  </si>
  <si>
    <t xml:space="preserve">Міська програма "Захист прав дітей, які перебувають у складних життєвих обставинах та потребують особливої уваги, а також профілактики правопорушень серед дітей"  </t>
  </si>
  <si>
    <t>0611142</t>
  </si>
  <si>
    <t>1142</t>
  </si>
  <si>
    <t>Надання фінансової підтримки громадським об"єднанням ветеранів і осіб з інвалідністю, діяльність яких має соціальну спрямованість</t>
  </si>
  <si>
    <t>1511021</t>
  </si>
  <si>
    <t>1021</t>
  </si>
  <si>
    <t xml:space="preserve">Надання загальної середньої освіти закладами загальної середньої освіти </t>
  </si>
  <si>
    <t>Міська програма «Підтримка, розвиток та співфінансування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</si>
  <si>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</si>
  <si>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</si>
  <si>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коронавірусної хвороби (COVID-19) певним категоріям населення м. Мелітополя"</t>
  </si>
  <si>
    <t>Фінансова підтримка засобів масової інформації</t>
  </si>
  <si>
    <t>0218410</t>
  </si>
  <si>
    <t>8410</t>
  </si>
  <si>
    <t>17.12.2020 № 7/68</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</si>
  <si>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</si>
  <si>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</si>
  <si>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</si>
  <si>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</si>
  <si>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17.12.2020 № 7/61</t>
  </si>
  <si>
    <t>17.12.2020 № 7/52</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</si>
  <si>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</si>
  <si>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</si>
  <si>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</si>
  <si>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17.12.2020 №7/59</t>
  </si>
  <si>
    <t>Департамент капітального будівництва та житлово-комунального господарства Мелітопольської міської ради Запорізької області</t>
  </si>
  <si>
    <t>1516017</t>
  </si>
  <si>
    <t>1517640</t>
  </si>
  <si>
    <t>1517670</t>
  </si>
  <si>
    <t>Міська програма "Заходи, спрямовані на регулювання чисельності безпритульних тварин у м. Мелітополі"</t>
  </si>
  <si>
    <t xml:space="preserve">Міська програма «Матеріально-технічне забезпечення військової частини А2708 Повітряних Сил Збройних Сил України» </t>
  </si>
  <si>
    <t>Міська програма «Матеріально-технічне забезпечення науково-навчального виробничого центру Таврійського державного агротехнологічного університету імені Дмитра Моторного»</t>
  </si>
  <si>
    <t xml:space="preserve">Міська програма "Капітальний ремонт ліфтів" </t>
  </si>
  <si>
    <t>17.12.2020 № 7/54</t>
  </si>
  <si>
    <t>1516015</t>
  </si>
  <si>
    <t>26.03.2021 № 5/23</t>
  </si>
  <si>
    <t>26.03.2021 №5/25</t>
  </si>
  <si>
    <t>26.03.2021 №5/30</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</si>
  <si>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</si>
  <si>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</si>
  <si>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</si>
  <si>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0217640</t>
  </si>
  <si>
    <t>1516040</t>
  </si>
  <si>
    <t>17.12.2020 № 7/57</t>
  </si>
  <si>
    <t>Заходи, пов'язані з поліпшенням питної води</t>
  </si>
  <si>
    <t>29.04.2021 № 5/2</t>
  </si>
  <si>
    <t>29.04.2021 № 5/5</t>
  </si>
  <si>
    <t>29.04.2021 № 5/3</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</si>
  <si>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</si>
  <si>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</si>
  <si>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</si>
  <si>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17.12.2020 № 7/56</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</si>
  <si>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</si>
  <si>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</si>
  <si>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</si>
  <si>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Міська програма "Технічна підтримка дистанційного навчання"</t>
  </si>
  <si>
    <t>Виконання інвестиційних проектів в рамках здійснення заходів щодо соціально-економічного розвитку окремих територій</t>
  </si>
  <si>
    <t>1517363</t>
  </si>
  <si>
    <t>7363</t>
  </si>
  <si>
    <t>17.12.2020 №7/60</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</si>
  <si>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</si>
  <si>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01.06.2021 № 5/5</t>
  </si>
  <si>
    <t>Міська програма "Проведення робіт із встановлення (зміни) меж міста Мелітополя Запорізької області"</t>
  </si>
  <si>
    <t>Міська програма "Проведення нормативної грошової оцінки земель м. Мелітополя Запорізької області"</t>
  </si>
  <si>
    <t xml:space="preserve">Міська програма «Розвиток освіти дорослих в місті Мелітополі на 2021-2025 роки» </t>
  </si>
  <si>
    <t>Міська програма "Запобігання та ліквідація надзвичайних ситуацій техногенного та природного характеру"</t>
  </si>
  <si>
    <t>Міська програма "Матеріально-технічне забезпечення 2-го патрульного батальйону Національної гвардії України (військова частина 3033)"</t>
  </si>
  <si>
    <t>Міська програма "Матеріально-технічне забезпечення Мелітопольського РВ УСБУ в Запорізькій області"</t>
  </si>
  <si>
    <t>Міська програма "Матеріально-технічне забезпечення територіального сервісного центру м. Мелітополь МВС в Запорізькій області"</t>
  </si>
  <si>
    <t xml:space="preserve">Міська програма "Фінансова підтримка КП "Комунальна власність" Мелітопольської міської ради Запорізької області"  </t>
  </si>
  <si>
    <t xml:space="preserve">Міська програма «Технічна підтримка будівництва спортивних майданчиків  з тренажерним обладнанням»  </t>
  </si>
  <si>
    <t>26.03.2021 № 5/27</t>
  </si>
  <si>
    <t>29.04.2021 № 5/6</t>
  </si>
  <si>
    <t>26.03.2021 № 5/26</t>
  </si>
  <si>
    <t>26.03.2021 № 5/24</t>
  </si>
  <si>
    <t>0217413</t>
  </si>
  <si>
    <t>7413</t>
  </si>
  <si>
    <t>0451</t>
  </si>
  <si>
    <t>Інші заходи у сфері автотранспорту</t>
  </si>
  <si>
    <t>Міська програма «Створення та підтримка функціонування дитячих будинків сімейного типу та прийомних сімей»</t>
  </si>
  <si>
    <t>29.01.2021 № 5/1</t>
  </si>
  <si>
    <t>Міська програма "Придбання міського транспорту загального користування для організації пасажирських перевезень в місті Мелітополі"</t>
  </si>
  <si>
    <t>30.07.2021 № 4/11</t>
  </si>
  <si>
    <t>30.07.2021 № 4/9</t>
  </si>
  <si>
    <t>30.07.2021 № 4/4</t>
  </si>
  <si>
    <t>30.07.2021 № 4/7</t>
  </si>
  <si>
    <t>29.06.2021 № 4/4</t>
  </si>
  <si>
    <t>29.06.2021 № 4/5</t>
  </si>
  <si>
    <t>30.07.2021 № 4/10</t>
  </si>
  <si>
    <t xml:space="preserve">Міська програма «Забезпечення житлом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t>
  </si>
  <si>
    <t>Міська програма «Проведення урочистих та святкових заходів в галузі освіти»</t>
  </si>
  <si>
    <t>20.08.2021 № 5/6</t>
  </si>
  <si>
    <t>1511172</t>
  </si>
  <si>
    <t>1172</t>
  </si>
  <si>
    <t>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</si>
  <si>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1517411</t>
  </si>
  <si>
    <t>7411</t>
  </si>
  <si>
    <t>Утримання та розвиток автотранспорту</t>
  </si>
  <si>
    <t>Міська програма "Заходи, спрямовані на організацію пасажирських перевезень муніципальним транспортом в                            м. Мелітополі"</t>
  </si>
  <si>
    <t>Міська програма "Формування сприятливого середовища для якісного надання освітніх, культурно-дозвіллєвих та спортивних послуг мешканцям с. Садове Мелітопольського району"</t>
  </si>
  <si>
    <t>01.10.2021 №5/14</t>
  </si>
  <si>
    <t>01.10.2021 № 5/3</t>
  </si>
  <si>
    <t>Міська програма "Матеріально-технічне забезпечення відділу судової експертизи міста Мелітополя Запорізького науково-дослідного експертно-криміналістичного центру МВС України"</t>
  </si>
  <si>
    <t>01.10.2021 № 5/4</t>
  </si>
  <si>
    <t>Міська програма "Забезпечення функціонування                             комунального підприємства «Водоканал» Мелітопольської міської ради Запорізької області"</t>
  </si>
  <si>
    <t>29.10.2021 №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</si>
</sst>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177">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4" fillId="0" borderId="10" xfId="0" applyFont="1" applyFill="1" applyBorder="1" applyAlignment="1" applyProtection="1">
      <alignment horizontal="center" vertical="top" wrapText="1"/>
      <protection locked="0"/>
    </xf>
    <xf numFmtId="0" fontId="24" fillId="0" borderId="10" xfId="0" applyFont="1" applyFill="1" applyBorder="1" applyAlignment="1">
      <alignment horizontal="center"/>
    </xf>
    <xf numFmtId="0" fontId="17" fillId="0" borderId="10" xfId="0" applyFont="1" applyFill="1" applyBorder="1" applyAlignment="1">
      <alignment horizontal="center"/>
    </xf>
    <xf numFmtId="0" fontId="24"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4" fillId="0" borderId="10" xfId="0" applyFont="1" applyFill="1" applyBorder="1" applyAlignment="1" applyProtection="1">
      <alignment vertical="top" wrapText="1"/>
      <protection locked="0"/>
    </xf>
    <xf numFmtId="0" fontId="24" fillId="0" borderId="10" xfId="0" applyFont="1" applyFill="1" applyBorder="1"/>
    <xf numFmtId="0" fontId="24" fillId="0" borderId="10" xfId="0" applyFont="1" applyFill="1" applyBorder="1" applyAlignment="1" applyProtection="1">
      <alignment vertical="center" wrapText="1"/>
      <protection locked="0"/>
    </xf>
    <xf numFmtId="0" fontId="22"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7" fillId="0" borderId="0" xfId="0" applyNumberFormat="1" applyFont="1" applyFill="1" applyAlignment="1">
      <alignment horizontal="center"/>
    </xf>
    <xf numFmtId="49" fontId="17" fillId="0" borderId="0" xfId="0" applyNumberFormat="1" applyFont="1" applyFill="1" applyAlignment="1">
      <alignment horizontal="left"/>
    </xf>
    <xf numFmtId="49" fontId="23" fillId="0" borderId="11" xfId="0" applyNumberFormat="1" applyFont="1" applyFill="1" applyBorder="1" applyAlignment="1">
      <alignment horizontal="center" wrapText="1"/>
    </xf>
    <xf numFmtId="0" fontId="23" fillId="0" borderId="10" xfId="0" applyFont="1" applyFill="1" applyBorder="1" applyAlignment="1">
      <alignment horizontal="center" wrapText="1"/>
    </xf>
    <xf numFmtId="0" fontId="23"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1" fontId="17" fillId="0" borderId="12" xfId="0" applyNumberFormat="1" applyFont="1" applyFill="1" applyBorder="1" applyAlignment="1" applyProtection="1">
      <alignment horizontal="center" vertical="center" wrapText="1"/>
      <protection locked="0"/>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3"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17" fillId="0" borderId="10" xfId="0" applyFont="1" applyFill="1" applyBorder="1" applyAlignment="1" applyProtection="1">
      <alignment wrapText="1"/>
      <protection locked="0"/>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2" fontId="21" fillId="0" borderId="10" xfId="0" applyNumberFormat="1" applyFont="1" applyFill="1" applyBorder="1" applyAlignment="1">
      <alignment horizontal="center" vertical="center"/>
    </xf>
    <xf numFmtId="2" fontId="21" fillId="0" borderId="12"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wrapText="1"/>
    </xf>
    <xf numFmtId="1" fontId="17" fillId="0" borderId="12" xfId="0" applyNumberFormat="1" applyFont="1" applyFill="1" applyBorder="1" applyAlignment="1">
      <alignment horizontal="center" vertical="center"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5" fillId="0" borderId="0" xfId="0" applyFont="1" applyFill="1"/>
    <xf numFmtId="1" fontId="20" fillId="0" borderId="0" xfId="0" applyNumberFormat="1" applyFont="1" applyFill="1"/>
    <xf numFmtId="0" fontId="26" fillId="0" borderId="0" xfId="0" applyFont="1" applyFill="1"/>
    <xf numFmtId="1" fontId="26" fillId="0" borderId="0" xfId="0" applyNumberFormat="1" applyFont="1" applyFill="1"/>
    <xf numFmtId="0" fontId="18" fillId="0" borderId="17" xfId="0" applyFont="1" applyFill="1" applyBorder="1" applyAlignment="1" applyProtection="1">
      <alignment vertical="center" wrapText="1"/>
      <protection locked="0"/>
    </xf>
    <xf numFmtId="0" fontId="18" fillId="0" borderId="22" xfId="0" applyFont="1" applyFill="1" applyBorder="1" applyAlignment="1" applyProtection="1">
      <alignment vertical="center" wrapText="1"/>
      <protection locked="0"/>
    </xf>
    <xf numFmtId="0" fontId="18" fillId="0" borderId="20" xfId="0" applyFont="1" applyFill="1" applyBorder="1" applyAlignment="1" applyProtection="1">
      <alignment vertical="center" wrapText="1"/>
      <protection locked="0"/>
    </xf>
    <xf numFmtId="0" fontId="17" fillId="0" borderId="0" xfId="0" applyFont="1" applyFill="1" applyAlignment="1">
      <alignment wrapText="1"/>
    </xf>
    <xf numFmtId="0" fontId="18" fillId="0" borderId="22" xfId="0" applyFont="1" applyBorder="1" applyAlignment="1">
      <alignment horizontal="left" wrapText="1"/>
    </xf>
    <xf numFmtId="0" fontId="0" fillId="0" borderId="22" xfId="0" applyFont="1" applyBorder="1" applyAlignment="1">
      <alignment horizontal="left"/>
    </xf>
    <xf numFmtId="0" fontId="0" fillId="0" borderId="20" xfId="0" applyFont="1" applyBorder="1" applyAlignment="1">
      <alignment horizontal="left"/>
    </xf>
    <xf numFmtId="0" fontId="17"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wrapText="1"/>
    </xf>
    <xf numFmtId="0" fontId="17" fillId="0" borderId="10" xfId="0" applyFont="1" applyBorder="1" applyAlignment="1">
      <alignment wrapText="1"/>
    </xf>
    <xf numFmtId="0" fontId="18" fillId="0" borderId="10" xfId="0" applyFont="1" applyBorder="1" applyAlignment="1">
      <alignment wrapText="1"/>
    </xf>
    <xf numFmtId="14" fontId="18" fillId="0" borderId="17" xfId="0" applyNumberFormat="1" applyFont="1" applyFill="1" applyBorder="1" applyAlignment="1" applyProtection="1">
      <alignment horizontal="center" vertical="center" wrapText="1"/>
      <protection locked="0"/>
    </xf>
    <xf numFmtId="0" fontId="21" fillId="0" borderId="14" xfId="0" applyFont="1" applyFill="1" applyBorder="1" applyAlignment="1" applyProtection="1">
      <alignment vertical="center" wrapText="1"/>
      <protection locked="0"/>
    </xf>
    <xf numFmtId="0" fontId="23" fillId="0" borderId="0" xfId="0" applyFont="1" applyFill="1" applyAlignment="1">
      <alignment horizontal="left" wrapText="1"/>
    </xf>
    <xf numFmtId="49" fontId="21" fillId="0" borderId="0" xfId="0" applyNumberFormat="1" applyFont="1" applyFill="1" applyAlignment="1">
      <alignment horizontal="center"/>
    </xf>
    <xf numFmtId="49" fontId="23" fillId="0" borderId="24" xfId="0" applyNumberFormat="1" applyFont="1" applyFill="1" applyBorder="1" applyAlignment="1">
      <alignment horizontal="center" wrapText="1"/>
    </xf>
    <xf numFmtId="49" fontId="23" fillId="0" borderId="19" xfId="0" applyNumberFormat="1" applyFont="1" applyFill="1" applyBorder="1" applyAlignment="1">
      <alignment horizontal="center" wrapText="1"/>
    </xf>
    <xf numFmtId="0" fontId="23" fillId="0" borderId="23" xfId="0" applyFont="1" applyFill="1" applyBorder="1" applyAlignment="1">
      <alignment horizontal="center" wrapText="1"/>
    </xf>
    <xf numFmtId="0" fontId="23" fillId="0" borderId="20" xfId="0" applyFont="1" applyFill="1" applyBorder="1" applyAlignment="1">
      <alignment horizontal="center" wrapText="1"/>
    </xf>
    <xf numFmtId="0" fontId="23" fillId="0" borderId="23"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23" xfId="0" applyNumberFormat="1" applyFont="1" applyFill="1" applyBorder="1" applyAlignment="1" applyProtection="1">
      <alignment horizontal="center" vertical="center" wrapText="1"/>
    </xf>
    <xf numFmtId="0" fontId="23" fillId="0" borderId="20" xfId="0" applyNumberFormat="1" applyFont="1" applyFill="1" applyBorder="1" applyAlignment="1" applyProtection="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7" fillId="0" borderId="0" xfId="0" applyFont="1" applyFill="1" applyBorder="1" applyAlignment="1">
      <alignment horizontal="left"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0" xfId="0" applyFont="1" applyFill="1" applyBorder="1" applyAlignment="1" applyProtection="1">
      <alignment horizontal="left"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0"/>
  <sheetViews>
    <sheetView tabSelected="1" view="pageBreakPreview" topLeftCell="A12" zoomScale="75" zoomScaleNormal="75" zoomScaleSheetLayoutView="75" workbookViewId="0">
      <pane xSplit="5" ySplit="3" topLeftCell="G206" activePane="bottomRight" state="frozen"/>
      <selection activeCell="A12" sqref="A12"/>
      <selection pane="topRight" activeCell="F12" sqref="F12"/>
      <selection pane="bottomLeft" activeCell="A15" sqref="A15"/>
      <selection pane="bottomRight" activeCell="I209" sqref="I209"/>
    </sheetView>
  </sheetViews>
  <sheetFormatPr defaultRowHeight="12.75" x14ac:dyDescent="0.2"/>
  <cols>
    <col min="1" max="1" width="15.28515625" style="22" customWidth="1"/>
    <col min="2" max="2" width="15.42578125" style="118" customWidth="1"/>
    <col min="3" max="3" width="15.7109375" style="118" customWidth="1"/>
    <col min="4" max="4" width="45.85546875" style="118" customWidth="1"/>
    <col min="5" max="5" width="70.5703125" style="118" customWidth="1"/>
    <col min="6" max="6" width="22.85546875" style="109" customWidth="1"/>
    <col min="7" max="7" width="15.85546875" style="109" customWidth="1"/>
    <col min="8" max="8" width="16.7109375" style="118" customWidth="1"/>
    <col min="9" max="10" width="17" style="118" customWidth="1"/>
    <col min="11" max="11" width="17.5703125" style="109" customWidth="1"/>
    <col min="12" max="14" width="9.140625" style="109"/>
    <col min="15" max="16384" width="9.140625" style="110"/>
  </cols>
  <sheetData>
    <row r="1" spans="1:10" ht="15.75" x14ac:dyDescent="0.25">
      <c r="H1" s="119" t="s">
        <v>0</v>
      </c>
      <c r="I1" s="119"/>
      <c r="J1" s="119"/>
    </row>
    <row r="2" spans="1:10" ht="15.75" x14ac:dyDescent="0.25">
      <c r="H2" s="119" t="s">
        <v>127</v>
      </c>
      <c r="I2" s="119"/>
      <c r="J2" s="119"/>
    </row>
    <row r="3" spans="1:10" ht="15.75" x14ac:dyDescent="0.25">
      <c r="H3" s="119" t="s">
        <v>48</v>
      </c>
      <c r="I3" s="119"/>
      <c r="J3" s="119"/>
    </row>
    <row r="4" spans="1:10" ht="15.75" x14ac:dyDescent="0.25">
      <c r="H4" s="119" t="s">
        <v>128</v>
      </c>
      <c r="I4" s="119"/>
      <c r="J4" s="119"/>
    </row>
    <row r="5" spans="1:10" ht="12" customHeight="1" x14ac:dyDescent="0.2">
      <c r="H5" s="155"/>
      <c r="I5" s="155"/>
      <c r="J5" s="155"/>
    </row>
    <row r="6" spans="1:10" ht="10.5" hidden="1" customHeight="1" x14ac:dyDescent="0.2">
      <c r="H6" s="155"/>
      <c r="I6" s="155"/>
      <c r="J6" s="155"/>
    </row>
    <row r="7" spans="1:10" ht="18.75" x14ac:dyDescent="0.3">
      <c r="A7" s="156" t="s">
        <v>315</v>
      </c>
      <c r="B7" s="156"/>
      <c r="C7" s="156"/>
      <c r="D7" s="156"/>
      <c r="E7" s="156"/>
      <c r="F7" s="156"/>
      <c r="G7" s="156"/>
      <c r="H7" s="156"/>
      <c r="I7" s="156"/>
      <c r="J7" s="156"/>
    </row>
    <row r="8" spans="1:10" ht="18.75" x14ac:dyDescent="0.3">
      <c r="A8" s="156" t="s">
        <v>496</v>
      </c>
      <c r="B8" s="156"/>
      <c r="C8" s="156"/>
      <c r="D8" s="156"/>
      <c r="E8" s="156"/>
      <c r="F8" s="156"/>
      <c r="G8" s="156"/>
      <c r="H8" s="156"/>
      <c r="I8" s="156"/>
      <c r="J8" s="156"/>
    </row>
    <row r="9" spans="1:10" ht="18.75" x14ac:dyDescent="0.3">
      <c r="A9" s="104" t="s">
        <v>484</v>
      </c>
      <c r="B9" s="103"/>
      <c r="C9" s="103"/>
      <c r="D9" s="103"/>
      <c r="E9" s="103"/>
      <c r="F9" s="103"/>
      <c r="G9" s="103"/>
      <c r="H9" s="103"/>
      <c r="I9" s="103"/>
      <c r="J9" s="103"/>
    </row>
    <row r="10" spans="1:10" ht="18.75" x14ac:dyDescent="0.3">
      <c r="A10" s="105" t="s">
        <v>452</v>
      </c>
      <c r="B10" s="103"/>
      <c r="C10" s="103"/>
      <c r="D10" s="103"/>
      <c r="E10" s="103"/>
      <c r="F10" s="103"/>
      <c r="G10" s="103"/>
      <c r="H10" s="103"/>
      <c r="I10" s="103"/>
      <c r="J10" s="103"/>
    </row>
    <row r="11" spans="1:10" ht="13.5" customHeight="1" thickBot="1" x14ac:dyDescent="0.35">
      <c r="B11" s="120"/>
      <c r="C11" s="120"/>
      <c r="D11" s="120"/>
      <c r="E11" s="120"/>
      <c r="F11" s="121"/>
      <c r="G11" s="121"/>
      <c r="H11" s="120"/>
      <c r="I11" s="120"/>
      <c r="J11" s="122" t="s">
        <v>451</v>
      </c>
    </row>
    <row r="12" spans="1:10" ht="93" customHeight="1" x14ac:dyDescent="0.2">
      <c r="A12" s="157" t="s">
        <v>318</v>
      </c>
      <c r="B12" s="159" t="s">
        <v>319</v>
      </c>
      <c r="C12" s="161" t="s">
        <v>320</v>
      </c>
      <c r="D12" s="161" t="s">
        <v>321</v>
      </c>
      <c r="E12" s="161" t="s">
        <v>322</v>
      </c>
      <c r="F12" s="161" t="s">
        <v>453</v>
      </c>
      <c r="G12" s="161" t="s">
        <v>323</v>
      </c>
      <c r="H12" s="163" t="s">
        <v>1</v>
      </c>
      <c r="I12" s="165" t="s">
        <v>2</v>
      </c>
      <c r="J12" s="166"/>
    </row>
    <row r="13" spans="1:10" ht="30" x14ac:dyDescent="0.2">
      <c r="A13" s="158"/>
      <c r="B13" s="160"/>
      <c r="C13" s="162"/>
      <c r="D13" s="162"/>
      <c r="E13" s="162"/>
      <c r="F13" s="162"/>
      <c r="G13" s="162"/>
      <c r="H13" s="164"/>
      <c r="I13" s="123" t="s">
        <v>324</v>
      </c>
      <c r="J13" s="124" t="s">
        <v>325</v>
      </c>
    </row>
    <row r="14" spans="1:10" ht="18.75" customHeight="1" x14ac:dyDescent="0.25">
      <c r="A14" s="106" t="s">
        <v>316</v>
      </c>
      <c r="B14" s="107">
        <v>2</v>
      </c>
      <c r="C14" s="125">
        <v>3</v>
      </c>
      <c r="D14" s="125">
        <v>4</v>
      </c>
      <c r="E14" s="125">
        <v>5</v>
      </c>
      <c r="F14" s="125">
        <v>6</v>
      </c>
      <c r="G14" s="125">
        <v>7</v>
      </c>
      <c r="H14" s="108">
        <v>8</v>
      </c>
      <c r="I14" s="126">
        <v>9</v>
      </c>
      <c r="J14" s="127">
        <v>10</v>
      </c>
    </row>
    <row r="15" spans="1:10" ht="56.25" customHeight="1" x14ac:dyDescent="0.3">
      <c r="A15" s="47" t="s">
        <v>136</v>
      </c>
      <c r="B15" s="28"/>
      <c r="C15" s="28"/>
      <c r="D15" s="29" t="s">
        <v>3</v>
      </c>
      <c r="E15" s="92"/>
      <c r="F15" s="32"/>
      <c r="G15" s="65">
        <f>H15+I15</f>
        <v>12599600</v>
      </c>
      <c r="H15" s="30">
        <f>H18+H23+H24+H25+H27+H29+H31+H32+H33+H34+H35+H36+H37+H38+H39+H40+H41+H44+H48+H30</f>
        <v>11174282</v>
      </c>
      <c r="I15" s="30">
        <f>I18+I23+I24+I25+I27+I29+I31+I32+I33+I34+I35+I36+I37+I38+I39+I40+I41+I44+I48+I45+I22</f>
        <v>1425318</v>
      </c>
      <c r="J15" s="113">
        <f>J18+J23+J24+J25+J27+J29+J31+J32+J33+J34+J35+J36+J37+J38+J39+J40+J41+J44+J48+J22</f>
        <v>1110318</v>
      </c>
    </row>
    <row r="16" spans="1:10" ht="56.25" hidden="1" customHeight="1" x14ac:dyDescent="0.3">
      <c r="A16" s="47" t="s">
        <v>62</v>
      </c>
      <c r="B16" s="4"/>
      <c r="C16" s="4"/>
      <c r="D16" s="29" t="s">
        <v>3</v>
      </c>
      <c r="E16" s="92"/>
      <c r="F16" s="32"/>
      <c r="G16" s="66">
        <f t="shared" ref="G16:G91" si="0">H16+I16</f>
        <v>0</v>
      </c>
      <c r="H16" s="3"/>
      <c r="I16" s="3"/>
      <c r="J16" s="48"/>
    </row>
    <row r="17" spans="1:11" ht="75" hidden="1" x14ac:dyDescent="0.3">
      <c r="A17" s="63" t="s">
        <v>336</v>
      </c>
      <c r="B17" s="4" t="s">
        <v>338</v>
      </c>
      <c r="C17" s="4"/>
      <c r="D17" s="35" t="s">
        <v>340</v>
      </c>
      <c r="E17" s="92"/>
      <c r="F17" s="32"/>
      <c r="G17" s="66">
        <f t="shared" si="0"/>
        <v>0</v>
      </c>
      <c r="H17" s="3">
        <f>H18</f>
        <v>0</v>
      </c>
      <c r="I17" s="3"/>
      <c r="J17" s="48"/>
    </row>
    <row r="18" spans="1:11" ht="18.75" hidden="1" x14ac:dyDescent="0.3">
      <c r="A18" s="64" t="s">
        <v>337</v>
      </c>
      <c r="B18" s="7" t="s">
        <v>339</v>
      </c>
      <c r="C18" s="7" t="s">
        <v>303</v>
      </c>
      <c r="D18" s="10" t="s">
        <v>341</v>
      </c>
      <c r="E18" s="92" t="s">
        <v>457</v>
      </c>
      <c r="F18" s="32"/>
      <c r="G18" s="67">
        <f t="shared" si="0"/>
        <v>0</v>
      </c>
      <c r="H18" s="27"/>
      <c r="I18" s="27"/>
      <c r="J18" s="49"/>
      <c r="K18" s="112"/>
    </row>
    <row r="19" spans="1:11" ht="37.5" hidden="1" x14ac:dyDescent="0.2">
      <c r="A19" s="23" t="s">
        <v>262</v>
      </c>
      <c r="B19" s="4" t="s">
        <v>248</v>
      </c>
      <c r="C19" s="4"/>
      <c r="D19" s="1" t="s">
        <v>64</v>
      </c>
      <c r="E19" s="92"/>
      <c r="F19" s="32"/>
      <c r="G19" s="66">
        <f t="shared" si="0"/>
        <v>0</v>
      </c>
      <c r="H19" s="3"/>
      <c r="I19" s="3"/>
      <c r="J19" s="48"/>
    </row>
    <row r="20" spans="1:11" ht="75" hidden="1" x14ac:dyDescent="0.3">
      <c r="A20" s="25" t="s">
        <v>263</v>
      </c>
      <c r="B20" s="7" t="s">
        <v>250</v>
      </c>
      <c r="C20" s="7" t="s">
        <v>5</v>
      </c>
      <c r="D20" s="31" t="s">
        <v>261</v>
      </c>
      <c r="E20" s="92" t="s">
        <v>326</v>
      </c>
      <c r="F20" s="32"/>
      <c r="G20" s="66">
        <f t="shared" si="0"/>
        <v>0</v>
      </c>
      <c r="H20" s="27"/>
      <c r="I20" s="27"/>
      <c r="J20" s="49"/>
    </row>
    <row r="21" spans="1:11" ht="75" hidden="1" x14ac:dyDescent="0.3">
      <c r="A21" s="25" t="s">
        <v>63</v>
      </c>
      <c r="B21" s="7" t="s">
        <v>86</v>
      </c>
      <c r="C21" s="7" t="s">
        <v>5</v>
      </c>
      <c r="D21" s="31" t="s">
        <v>65</v>
      </c>
      <c r="E21" s="92" t="s">
        <v>117</v>
      </c>
      <c r="F21" s="32"/>
      <c r="G21" s="66">
        <f t="shared" si="0"/>
        <v>0</v>
      </c>
      <c r="H21" s="27"/>
      <c r="I21" s="27"/>
      <c r="J21" s="49"/>
    </row>
    <row r="22" spans="1:11" ht="56.25" hidden="1" x14ac:dyDescent="0.3">
      <c r="A22" s="23" t="s">
        <v>634</v>
      </c>
      <c r="B22" s="4" t="s">
        <v>635</v>
      </c>
      <c r="C22" s="4" t="s">
        <v>636</v>
      </c>
      <c r="D22" s="16" t="s">
        <v>637</v>
      </c>
      <c r="E22" s="92" t="s">
        <v>640</v>
      </c>
      <c r="F22" s="149" t="s">
        <v>641</v>
      </c>
      <c r="G22" s="66">
        <f t="shared" si="0"/>
        <v>0</v>
      </c>
      <c r="H22" s="3"/>
      <c r="I22" s="3"/>
      <c r="J22" s="48">
        <f>I22</f>
        <v>0</v>
      </c>
    </row>
    <row r="23" spans="1:11" ht="62.45" customHeight="1" x14ac:dyDescent="0.2">
      <c r="A23" s="23" t="s">
        <v>143</v>
      </c>
      <c r="B23" s="4" t="s">
        <v>144</v>
      </c>
      <c r="C23" s="4" t="s">
        <v>45</v>
      </c>
      <c r="D23" s="1" t="s">
        <v>76</v>
      </c>
      <c r="E23" s="10" t="s">
        <v>499</v>
      </c>
      <c r="F23" s="32" t="s">
        <v>502</v>
      </c>
      <c r="G23" s="66">
        <f t="shared" si="0"/>
        <v>800000</v>
      </c>
      <c r="H23" s="3">
        <f>800000-49800</f>
        <v>750200</v>
      </c>
      <c r="I23" s="3">
        <f>J23</f>
        <v>49800</v>
      </c>
      <c r="J23" s="48">
        <v>49800</v>
      </c>
    </row>
    <row r="24" spans="1:11" ht="18.75" x14ac:dyDescent="0.2">
      <c r="A24" s="23" t="s">
        <v>600</v>
      </c>
      <c r="B24" s="4" t="s">
        <v>145</v>
      </c>
      <c r="C24" s="4" t="s">
        <v>11</v>
      </c>
      <c r="D24" s="1" t="s">
        <v>84</v>
      </c>
      <c r="E24" s="167" t="s">
        <v>500</v>
      </c>
      <c r="F24" s="170" t="s">
        <v>573</v>
      </c>
      <c r="G24" s="66">
        <f t="shared" si="0"/>
        <v>153050</v>
      </c>
      <c r="H24" s="3">
        <v>153050</v>
      </c>
      <c r="I24" s="3"/>
      <c r="J24" s="48"/>
    </row>
    <row r="25" spans="1:11" ht="179.25" customHeight="1" x14ac:dyDescent="0.3">
      <c r="A25" s="23" t="s">
        <v>597</v>
      </c>
      <c r="B25" s="4" t="s">
        <v>598</v>
      </c>
      <c r="C25" s="4" t="s">
        <v>12</v>
      </c>
      <c r="D25" s="16" t="s">
        <v>599</v>
      </c>
      <c r="E25" s="169"/>
      <c r="F25" s="172"/>
      <c r="G25" s="66">
        <f t="shared" si="0"/>
        <v>270000</v>
      </c>
      <c r="H25" s="3"/>
      <c r="I25" s="3">
        <v>270000</v>
      </c>
      <c r="J25" s="48"/>
    </row>
    <row r="26" spans="1:11" ht="60" hidden="1" customHeight="1" x14ac:dyDescent="0.2">
      <c r="A26" s="23" t="s">
        <v>304</v>
      </c>
      <c r="B26" s="4" t="s">
        <v>271</v>
      </c>
      <c r="C26" s="111" t="s">
        <v>12</v>
      </c>
      <c r="D26" s="12" t="s">
        <v>77</v>
      </c>
      <c r="E26" s="92" t="s">
        <v>305</v>
      </c>
      <c r="F26" s="32"/>
      <c r="G26" s="66">
        <f t="shared" si="0"/>
        <v>0</v>
      </c>
      <c r="H26" s="3"/>
      <c r="I26" s="3"/>
      <c r="J26" s="48"/>
    </row>
    <row r="27" spans="1:11" ht="45" customHeight="1" x14ac:dyDescent="0.2">
      <c r="A27" s="23" t="s">
        <v>146</v>
      </c>
      <c r="B27" s="4" t="s">
        <v>147</v>
      </c>
      <c r="C27" s="4" t="s">
        <v>12</v>
      </c>
      <c r="D27" s="12" t="s">
        <v>148</v>
      </c>
      <c r="E27" s="10" t="s">
        <v>327</v>
      </c>
      <c r="F27" s="32" t="s">
        <v>503</v>
      </c>
      <c r="G27" s="66">
        <f t="shared" si="0"/>
        <v>199100</v>
      </c>
      <c r="H27" s="3">
        <v>199100</v>
      </c>
      <c r="I27" s="3"/>
      <c r="J27" s="48"/>
    </row>
    <row r="28" spans="1:11" ht="18.75" hidden="1" x14ac:dyDescent="0.2">
      <c r="A28" s="23" t="s">
        <v>150</v>
      </c>
      <c r="B28" s="4" t="s">
        <v>151</v>
      </c>
      <c r="C28" s="4"/>
      <c r="D28" s="12" t="s">
        <v>153</v>
      </c>
      <c r="E28" s="10"/>
      <c r="F28" s="69"/>
      <c r="G28" s="66">
        <f t="shared" si="0"/>
        <v>0</v>
      </c>
      <c r="H28" s="3"/>
      <c r="I28" s="3"/>
      <c r="J28" s="48"/>
    </row>
    <row r="29" spans="1:11" ht="56.25" x14ac:dyDescent="0.2">
      <c r="A29" s="25" t="s">
        <v>149</v>
      </c>
      <c r="B29" s="7" t="s">
        <v>152</v>
      </c>
      <c r="C29" s="7" t="s">
        <v>12</v>
      </c>
      <c r="D29" s="13" t="s">
        <v>154</v>
      </c>
      <c r="E29" s="92" t="s">
        <v>328</v>
      </c>
      <c r="F29" s="32" t="s">
        <v>506</v>
      </c>
      <c r="G29" s="66">
        <f t="shared" si="0"/>
        <v>3245300</v>
      </c>
      <c r="H29" s="27">
        <f>2481000+200000+200000-158000</f>
        <v>2723000</v>
      </c>
      <c r="I29" s="27">
        <f>34300+158000+330000</f>
        <v>522300</v>
      </c>
      <c r="J29" s="49">
        <f>I29</f>
        <v>522300</v>
      </c>
    </row>
    <row r="30" spans="1:11" ht="42.75" customHeight="1" x14ac:dyDescent="0.2">
      <c r="A30" s="25" t="s">
        <v>149</v>
      </c>
      <c r="B30" s="7" t="s">
        <v>152</v>
      </c>
      <c r="C30" s="7" t="s">
        <v>12</v>
      </c>
      <c r="D30" s="13" t="s">
        <v>154</v>
      </c>
      <c r="E30" s="92" t="s">
        <v>456</v>
      </c>
      <c r="F30" s="32" t="s">
        <v>507</v>
      </c>
      <c r="G30" s="66">
        <f t="shared" si="0"/>
        <v>10000</v>
      </c>
      <c r="H30" s="27">
        <v>10000</v>
      </c>
      <c r="I30" s="27"/>
      <c r="J30" s="49"/>
    </row>
    <row r="31" spans="1:11" ht="47.25" customHeight="1" x14ac:dyDescent="0.2">
      <c r="A31" s="25" t="s">
        <v>149</v>
      </c>
      <c r="B31" s="7" t="s">
        <v>152</v>
      </c>
      <c r="C31" s="7" t="s">
        <v>12</v>
      </c>
      <c r="D31" s="13" t="s">
        <v>154</v>
      </c>
      <c r="E31" s="92" t="s">
        <v>458</v>
      </c>
      <c r="F31" s="32" t="s">
        <v>504</v>
      </c>
      <c r="G31" s="66">
        <f t="shared" si="0"/>
        <v>425000</v>
      </c>
      <c r="H31" s="27">
        <v>425000</v>
      </c>
      <c r="I31" s="27"/>
      <c r="J31" s="49"/>
    </row>
    <row r="32" spans="1:11" ht="37.5" x14ac:dyDescent="0.2">
      <c r="A32" s="25" t="s">
        <v>149</v>
      </c>
      <c r="B32" s="7" t="s">
        <v>152</v>
      </c>
      <c r="C32" s="7" t="s">
        <v>12</v>
      </c>
      <c r="D32" s="13" t="s">
        <v>154</v>
      </c>
      <c r="E32" s="10" t="s">
        <v>466</v>
      </c>
      <c r="F32" s="32" t="s">
        <v>505</v>
      </c>
      <c r="G32" s="66">
        <f t="shared" si="0"/>
        <v>95000</v>
      </c>
      <c r="H32" s="8">
        <v>95000</v>
      </c>
      <c r="I32" s="27"/>
      <c r="J32" s="49"/>
    </row>
    <row r="33" spans="1:10" ht="37.5" hidden="1" x14ac:dyDescent="0.2">
      <c r="A33" s="25" t="s">
        <v>149</v>
      </c>
      <c r="B33" s="7" t="s">
        <v>152</v>
      </c>
      <c r="C33" s="7" t="s">
        <v>12</v>
      </c>
      <c r="D33" s="13" t="s">
        <v>154</v>
      </c>
      <c r="E33" s="10" t="s">
        <v>428</v>
      </c>
      <c r="F33" s="32" t="s">
        <v>506</v>
      </c>
      <c r="G33" s="66">
        <f t="shared" si="0"/>
        <v>0</v>
      </c>
      <c r="H33" s="8"/>
      <c r="I33" s="27"/>
      <c r="J33" s="49"/>
    </row>
    <row r="34" spans="1:10" ht="37.5" x14ac:dyDescent="0.2">
      <c r="A34" s="25" t="s">
        <v>149</v>
      </c>
      <c r="B34" s="7" t="s">
        <v>152</v>
      </c>
      <c r="C34" s="7" t="s">
        <v>12</v>
      </c>
      <c r="D34" s="13" t="s">
        <v>154</v>
      </c>
      <c r="E34" s="10" t="s">
        <v>329</v>
      </c>
      <c r="F34" s="32" t="s">
        <v>508</v>
      </c>
      <c r="G34" s="66">
        <f t="shared" si="0"/>
        <v>400000</v>
      </c>
      <c r="H34" s="27">
        <v>400000</v>
      </c>
      <c r="I34" s="27"/>
      <c r="J34" s="49"/>
    </row>
    <row r="35" spans="1:10" ht="37.5" x14ac:dyDescent="0.2">
      <c r="A35" s="25" t="s">
        <v>149</v>
      </c>
      <c r="B35" s="7" t="s">
        <v>152</v>
      </c>
      <c r="C35" s="7" t="s">
        <v>12</v>
      </c>
      <c r="D35" s="13" t="s">
        <v>154</v>
      </c>
      <c r="E35" s="10" t="s">
        <v>454</v>
      </c>
      <c r="F35" s="32" t="s">
        <v>509</v>
      </c>
      <c r="G35" s="66">
        <f t="shared" si="0"/>
        <v>1704000</v>
      </c>
      <c r="H35" s="27">
        <f>1500000+147000+57000</f>
        <v>1704000</v>
      </c>
      <c r="I35" s="8"/>
      <c r="J35" s="50"/>
    </row>
    <row r="36" spans="1:10" ht="99.75" customHeight="1" x14ac:dyDescent="0.2">
      <c r="A36" s="25" t="s">
        <v>149</v>
      </c>
      <c r="B36" s="7" t="s">
        <v>152</v>
      </c>
      <c r="C36" s="7" t="s">
        <v>12</v>
      </c>
      <c r="D36" s="14" t="s">
        <v>154</v>
      </c>
      <c r="E36" s="10" t="s">
        <v>330</v>
      </c>
      <c r="F36" s="32" t="s">
        <v>510</v>
      </c>
      <c r="G36" s="66">
        <f t="shared" si="0"/>
        <v>2175850</v>
      </c>
      <c r="H36" s="27">
        <f>1500000+403519+91900+30000+126400+31</f>
        <v>2151850</v>
      </c>
      <c r="I36" s="27">
        <f>39200-15200</f>
        <v>24000</v>
      </c>
      <c r="J36" s="49">
        <f>I36</f>
        <v>24000</v>
      </c>
    </row>
    <row r="37" spans="1:10" ht="56.25" hidden="1" x14ac:dyDescent="0.2">
      <c r="A37" s="25" t="s">
        <v>149</v>
      </c>
      <c r="B37" s="7" t="s">
        <v>152</v>
      </c>
      <c r="C37" s="7" t="s">
        <v>12</v>
      </c>
      <c r="D37" s="14" t="s">
        <v>154</v>
      </c>
      <c r="E37" s="10" t="s">
        <v>331</v>
      </c>
      <c r="F37" s="32" t="s">
        <v>511</v>
      </c>
      <c r="G37" s="66">
        <f t="shared" si="0"/>
        <v>0</v>
      </c>
      <c r="H37" s="27"/>
      <c r="I37" s="27"/>
      <c r="J37" s="49"/>
    </row>
    <row r="38" spans="1:10" ht="37.5" hidden="1" x14ac:dyDescent="0.2">
      <c r="A38" s="25" t="s">
        <v>149</v>
      </c>
      <c r="B38" s="7" t="s">
        <v>152</v>
      </c>
      <c r="C38" s="7" t="s">
        <v>12</v>
      </c>
      <c r="D38" s="14" t="s">
        <v>154</v>
      </c>
      <c r="E38" s="10" t="s">
        <v>382</v>
      </c>
      <c r="F38" s="32" t="s">
        <v>512</v>
      </c>
      <c r="G38" s="66">
        <f t="shared" si="0"/>
        <v>0</v>
      </c>
      <c r="H38" s="27"/>
      <c r="I38" s="27"/>
      <c r="J38" s="49"/>
    </row>
    <row r="39" spans="1:10" ht="37.5" x14ac:dyDescent="0.2">
      <c r="A39" s="25" t="s">
        <v>149</v>
      </c>
      <c r="B39" s="7" t="s">
        <v>152</v>
      </c>
      <c r="C39" s="7" t="s">
        <v>12</v>
      </c>
      <c r="D39" s="14" t="s">
        <v>154</v>
      </c>
      <c r="E39" s="10" t="s">
        <v>332</v>
      </c>
      <c r="F39" s="32" t="s">
        <v>511</v>
      </c>
      <c r="G39" s="66">
        <f t="shared" si="0"/>
        <v>30000</v>
      </c>
      <c r="H39" s="27">
        <v>30000</v>
      </c>
      <c r="I39" s="27"/>
      <c r="J39" s="49"/>
    </row>
    <row r="40" spans="1:10" ht="37.5" hidden="1" x14ac:dyDescent="0.2">
      <c r="A40" s="25" t="s">
        <v>149</v>
      </c>
      <c r="B40" s="7" t="s">
        <v>152</v>
      </c>
      <c r="C40" s="7" t="s">
        <v>12</v>
      </c>
      <c r="D40" s="13" t="s">
        <v>154</v>
      </c>
      <c r="E40" s="10" t="s">
        <v>333</v>
      </c>
      <c r="F40" s="32" t="s">
        <v>512</v>
      </c>
      <c r="G40" s="66">
        <f t="shared" si="0"/>
        <v>0</v>
      </c>
      <c r="H40" s="27"/>
      <c r="I40" s="27"/>
      <c r="J40" s="49"/>
    </row>
    <row r="41" spans="1:10" ht="61.5" customHeight="1" x14ac:dyDescent="0.2">
      <c r="A41" s="23" t="s">
        <v>159</v>
      </c>
      <c r="B41" s="4" t="s">
        <v>155</v>
      </c>
      <c r="C41" s="4" t="s">
        <v>16</v>
      </c>
      <c r="D41" s="12" t="s">
        <v>239</v>
      </c>
      <c r="E41" s="10" t="s">
        <v>334</v>
      </c>
      <c r="F41" s="32" t="s">
        <v>512</v>
      </c>
      <c r="G41" s="66">
        <f t="shared" si="0"/>
        <v>117000</v>
      </c>
      <c r="H41" s="3">
        <f>117000-42000+15782</f>
        <v>90782</v>
      </c>
      <c r="I41" s="3">
        <f>42000-15782</f>
        <v>26218</v>
      </c>
      <c r="J41" s="48">
        <f>I41</f>
        <v>26218</v>
      </c>
    </row>
    <row r="42" spans="1:10" ht="18.75" hidden="1" x14ac:dyDescent="0.2">
      <c r="A42" s="23"/>
      <c r="B42" s="4"/>
      <c r="C42" s="4"/>
      <c r="D42" s="12"/>
      <c r="E42" s="10"/>
      <c r="F42" s="69"/>
      <c r="G42" s="66">
        <f t="shared" si="0"/>
        <v>0</v>
      </c>
      <c r="H42" s="3"/>
      <c r="I42" s="3"/>
      <c r="J42" s="48"/>
    </row>
    <row r="43" spans="1:10" ht="56.25" hidden="1" x14ac:dyDescent="0.2">
      <c r="A43" s="23" t="s">
        <v>278</v>
      </c>
      <c r="B43" s="4" t="s">
        <v>281</v>
      </c>
      <c r="C43" s="4"/>
      <c r="D43" s="12" t="s">
        <v>285</v>
      </c>
      <c r="E43" s="176" t="s">
        <v>335</v>
      </c>
      <c r="F43" s="32"/>
      <c r="G43" s="66">
        <f t="shared" si="0"/>
        <v>0</v>
      </c>
      <c r="H43" s="3"/>
      <c r="I43" s="3"/>
      <c r="J43" s="48"/>
    </row>
    <row r="44" spans="1:10" ht="40.5" hidden="1" customHeight="1" x14ac:dyDescent="0.2">
      <c r="A44" s="25" t="s">
        <v>279</v>
      </c>
      <c r="B44" s="7" t="s">
        <v>282</v>
      </c>
      <c r="C44" s="7" t="s">
        <v>284</v>
      </c>
      <c r="D44" s="13" t="s">
        <v>286</v>
      </c>
      <c r="E44" s="176"/>
      <c r="F44" s="170" t="s">
        <v>513</v>
      </c>
      <c r="G44" s="66">
        <f t="shared" si="0"/>
        <v>0</v>
      </c>
      <c r="H44" s="27"/>
      <c r="I44" s="27"/>
      <c r="J44" s="49"/>
    </row>
    <row r="45" spans="1:10" ht="40.5" customHeight="1" x14ac:dyDescent="0.2">
      <c r="A45" s="23" t="s">
        <v>280</v>
      </c>
      <c r="B45" s="4" t="s">
        <v>283</v>
      </c>
      <c r="C45" s="4" t="s">
        <v>14</v>
      </c>
      <c r="D45" s="12" t="s">
        <v>287</v>
      </c>
      <c r="E45" s="176"/>
      <c r="F45" s="172"/>
      <c r="G45" s="66">
        <f t="shared" si="0"/>
        <v>45000</v>
      </c>
      <c r="H45" s="3"/>
      <c r="I45" s="3">
        <f>35000+10000</f>
        <v>45000</v>
      </c>
      <c r="J45" s="48"/>
    </row>
    <row r="46" spans="1:10" ht="56.25" hidden="1" x14ac:dyDescent="0.2">
      <c r="A46" s="23" t="s">
        <v>158</v>
      </c>
      <c r="B46" s="4" t="s">
        <v>157</v>
      </c>
      <c r="C46" s="4" t="s">
        <v>14</v>
      </c>
      <c r="D46" s="1" t="s">
        <v>156</v>
      </c>
      <c r="E46" s="10" t="s">
        <v>238</v>
      </c>
      <c r="F46" s="170" t="s">
        <v>514</v>
      </c>
      <c r="G46" s="66">
        <f t="shared" si="0"/>
        <v>45000</v>
      </c>
      <c r="H46" s="3"/>
      <c r="I46" s="3">
        <f>35000+10000</f>
        <v>45000</v>
      </c>
      <c r="J46" s="51"/>
    </row>
    <row r="47" spans="1:10" ht="18.75" hidden="1" x14ac:dyDescent="0.2">
      <c r="A47" s="23"/>
      <c r="B47" s="4"/>
      <c r="C47" s="4"/>
      <c r="D47" s="12"/>
      <c r="E47" s="10"/>
      <c r="F47" s="172"/>
      <c r="G47" s="66">
        <f t="shared" si="0"/>
        <v>45000</v>
      </c>
      <c r="H47" s="3"/>
      <c r="I47" s="3">
        <f>35000+10000</f>
        <v>45000</v>
      </c>
      <c r="J47" s="48"/>
    </row>
    <row r="48" spans="1:10" ht="60.75" customHeight="1" x14ac:dyDescent="0.3">
      <c r="A48" s="23" t="s">
        <v>571</v>
      </c>
      <c r="B48" s="4" t="s">
        <v>572</v>
      </c>
      <c r="C48" s="4" t="s">
        <v>6</v>
      </c>
      <c r="D48" s="128" t="s">
        <v>570</v>
      </c>
      <c r="E48" s="92" t="s">
        <v>487</v>
      </c>
      <c r="F48" s="170" t="s">
        <v>514</v>
      </c>
      <c r="G48" s="66">
        <f t="shared" si="0"/>
        <v>2930300</v>
      </c>
      <c r="H48" s="3">
        <f>3722300-200000-700000-380000</f>
        <v>2442300</v>
      </c>
      <c r="I48" s="3">
        <f>J48</f>
        <v>488000</v>
      </c>
      <c r="J48" s="48">
        <f>700000-212000</f>
        <v>488000</v>
      </c>
    </row>
    <row r="49" spans="1:10" ht="37.5" hidden="1" x14ac:dyDescent="0.3">
      <c r="A49" s="25" t="s">
        <v>66</v>
      </c>
      <c r="B49" s="7" t="s">
        <v>129</v>
      </c>
      <c r="C49" s="7" t="s">
        <v>6</v>
      </c>
      <c r="D49" s="19" t="s">
        <v>67</v>
      </c>
      <c r="E49" s="129"/>
      <c r="F49" s="172"/>
      <c r="G49" s="66">
        <f t="shared" si="0"/>
        <v>0</v>
      </c>
      <c r="H49" s="27"/>
      <c r="I49" s="27"/>
      <c r="J49" s="49"/>
    </row>
    <row r="50" spans="1:10" ht="56.25" hidden="1" x14ac:dyDescent="0.3">
      <c r="A50" s="23"/>
      <c r="B50" s="4" t="s">
        <v>58</v>
      </c>
      <c r="C50" s="4" t="s">
        <v>6</v>
      </c>
      <c r="D50" s="33" t="s">
        <v>59</v>
      </c>
      <c r="E50" s="92" t="s">
        <v>60</v>
      </c>
      <c r="F50" s="32"/>
      <c r="G50" s="66">
        <f t="shared" si="0"/>
        <v>0</v>
      </c>
      <c r="H50" s="3"/>
      <c r="I50" s="3"/>
      <c r="J50" s="48"/>
    </row>
    <row r="51" spans="1:10" ht="37.5" hidden="1" x14ac:dyDescent="0.2">
      <c r="A51" s="23" t="s">
        <v>107</v>
      </c>
      <c r="B51" s="4" t="s">
        <v>108</v>
      </c>
      <c r="C51" s="4"/>
      <c r="D51" s="130" t="s">
        <v>109</v>
      </c>
      <c r="E51" s="92"/>
      <c r="F51" s="32"/>
      <c r="G51" s="66">
        <f t="shared" si="0"/>
        <v>0</v>
      </c>
      <c r="H51" s="3">
        <f>SUM(H52)</f>
        <v>0</v>
      </c>
      <c r="I51" s="3">
        <f>SUM(I52)</f>
        <v>0</v>
      </c>
      <c r="J51" s="48"/>
    </row>
    <row r="52" spans="1:10" ht="75" hidden="1" x14ac:dyDescent="0.3">
      <c r="A52" s="23" t="s">
        <v>100</v>
      </c>
      <c r="B52" s="4" t="s">
        <v>101</v>
      </c>
      <c r="C52" s="4" t="s">
        <v>54</v>
      </c>
      <c r="D52" s="34" t="s">
        <v>68</v>
      </c>
      <c r="E52" s="10" t="s">
        <v>57</v>
      </c>
      <c r="F52" s="69"/>
      <c r="G52" s="66">
        <f t="shared" si="0"/>
        <v>0</v>
      </c>
      <c r="H52" s="3"/>
      <c r="I52" s="3"/>
      <c r="J52" s="48"/>
    </row>
    <row r="53" spans="1:10" ht="56.25" hidden="1" x14ac:dyDescent="0.2">
      <c r="A53" s="23" t="s">
        <v>69</v>
      </c>
      <c r="B53" s="4" t="s">
        <v>94</v>
      </c>
      <c r="C53" s="4" t="s">
        <v>12</v>
      </c>
      <c r="D53" s="12" t="s">
        <v>77</v>
      </c>
      <c r="E53" s="92" t="s">
        <v>130</v>
      </c>
      <c r="F53" s="32"/>
      <c r="G53" s="66">
        <f t="shared" si="0"/>
        <v>0</v>
      </c>
      <c r="H53" s="3"/>
      <c r="I53" s="3"/>
      <c r="J53" s="48"/>
    </row>
    <row r="54" spans="1:10" ht="93.75" hidden="1" x14ac:dyDescent="0.3">
      <c r="A54" s="23"/>
      <c r="B54" s="4" t="s">
        <v>8</v>
      </c>
      <c r="C54" s="4" t="s">
        <v>12</v>
      </c>
      <c r="D54" s="16" t="s">
        <v>9</v>
      </c>
      <c r="E54" s="92" t="s">
        <v>55</v>
      </c>
      <c r="F54" s="32"/>
      <c r="G54" s="66">
        <f t="shared" si="0"/>
        <v>0</v>
      </c>
      <c r="H54" s="3"/>
      <c r="I54" s="3"/>
      <c r="J54" s="48"/>
    </row>
    <row r="55" spans="1:10" ht="18.75" hidden="1" x14ac:dyDescent="0.2">
      <c r="A55" s="23"/>
      <c r="B55" s="4"/>
      <c r="C55" s="4"/>
      <c r="D55" s="12"/>
      <c r="E55" s="10"/>
      <c r="F55" s="69"/>
      <c r="G55" s="66">
        <f t="shared" si="0"/>
        <v>0</v>
      </c>
      <c r="H55" s="3"/>
      <c r="I55" s="3"/>
      <c r="J55" s="48"/>
    </row>
    <row r="56" spans="1:10" ht="18.75" hidden="1" x14ac:dyDescent="0.2">
      <c r="A56" s="23"/>
      <c r="B56" s="4"/>
      <c r="C56" s="4"/>
      <c r="D56" s="12"/>
      <c r="E56" s="10"/>
      <c r="F56" s="69"/>
      <c r="G56" s="66">
        <f t="shared" si="0"/>
        <v>0</v>
      </c>
      <c r="H56" s="3"/>
      <c r="I56" s="3"/>
      <c r="J56" s="48"/>
    </row>
    <row r="57" spans="1:10" ht="18.75" hidden="1" x14ac:dyDescent="0.2">
      <c r="A57" s="23"/>
      <c r="B57" s="4"/>
      <c r="C57" s="4"/>
      <c r="D57" s="12"/>
      <c r="E57" s="10"/>
      <c r="F57" s="69"/>
      <c r="G57" s="66">
        <f t="shared" si="0"/>
        <v>0</v>
      </c>
      <c r="H57" s="3"/>
      <c r="I57" s="3"/>
      <c r="J57" s="48"/>
    </row>
    <row r="58" spans="1:10" ht="18.75" hidden="1" x14ac:dyDescent="0.2">
      <c r="A58" s="23"/>
      <c r="B58" s="4"/>
      <c r="C58" s="4"/>
      <c r="D58" s="12"/>
      <c r="E58" s="10"/>
      <c r="F58" s="69"/>
      <c r="G58" s="66">
        <f t="shared" si="0"/>
        <v>0</v>
      </c>
      <c r="H58" s="3"/>
      <c r="I58" s="3"/>
      <c r="J58" s="48"/>
    </row>
    <row r="59" spans="1:10" ht="56.25" hidden="1" x14ac:dyDescent="0.2">
      <c r="A59" s="23"/>
      <c r="B59" s="4" t="s">
        <v>13</v>
      </c>
      <c r="C59" s="4" t="s">
        <v>14</v>
      </c>
      <c r="D59" s="12" t="s">
        <v>15</v>
      </c>
      <c r="E59" s="10" t="s">
        <v>47</v>
      </c>
      <c r="F59" s="69"/>
      <c r="G59" s="66">
        <f t="shared" si="0"/>
        <v>0</v>
      </c>
      <c r="H59" s="3">
        <v>0</v>
      </c>
      <c r="I59" s="3"/>
      <c r="J59" s="48"/>
    </row>
    <row r="60" spans="1:10" ht="75" hidden="1" x14ac:dyDescent="0.2">
      <c r="A60" s="23" t="s">
        <v>70</v>
      </c>
      <c r="B60" s="4" t="s">
        <v>87</v>
      </c>
      <c r="C60" s="4" t="s">
        <v>16</v>
      </c>
      <c r="D60" s="12" t="s">
        <v>17</v>
      </c>
      <c r="E60" s="10" t="s">
        <v>97</v>
      </c>
      <c r="F60" s="69"/>
      <c r="G60" s="66">
        <f t="shared" si="0"/>
        <v>0</v>
      </c>
      <c r="H60" s="3"/>
      <c r="I60" s="3"/>
      <c r="J60" s="48"/>
    </row>
    <row r="61" spans="1:10" ht="18.75" hidden="1" x14ac:dyDescent="0.2">
      <c r="A61" s="23"/>
      <c r="B61" s="4"/>
      <c r="C61" s="4"/>
      <c r="D61" s="12"/>
      <c r="E61" s="3"/>
      <c r="F61" s="3"/>
      <c r="G61" s="66">
        <f t="shared" si="0"/>
        <v>0</v>
      </c>
      <c r="H61" s="3"/>
      <c r="I61" s="3"/>
      <c r="J61" s="48"/>
    </row>
    <row r="62" spans="1:10" ht="18.75" hidden="1" x14ac:dyDescent="0.2">
      <c r="A62" s="23" t="s">
        <v>71</v>
      </c>
      <c r="B62" s="4"/>
      <c r="C62" s="4"/>
      <c r="D62" s="12"/>
      <c r="E62" s="3"/>
      <c r="F62" s="3"/>
      <c r="G62" s="66">
        <f t="shared" si="0"/>
        <v>0</v>
      </c>
      <c r="H62" s="3"/>
      <c r="I62" s="3"/>
      <c r="J62" s="48"/>
    </row>
    <row r="63" spans="1:10" ht="56.25" hidden="1" x14ac:dyDescent="0.2">
      <c r="A63" s="23" t="s">
        <v>72</v>
      </c>
      <c r="B63" s="4">
        <v>200200</v>
      </c>
      <c r="C63" s="4"/>
      <c r="D63" s="35" t="s">
        <v>10</v>
      </c>
      <c r="E63" s="92" t="s">
        <v>46</v>
      </c>
      <c r="F63" s="32"/>
      <c r="G63" s="66">
        <f t="shared" si="0"/>
        <v>0</v>
      </c>
      <c r="H63" s="3"/>
      <c r="I63" s="2"/>
      <c r="J63" s="51"/>
    </row>
    <row r="64" spans="1:10" ht="18.75" hidden="1" x14ac:dyDescent="0.2">
      <c r="A64" s="23"/>
      <c r="B64" s="4"/>
      <c r="C64" s="4"/>
      <c r="D64" s="1"/>
      <c r="E64" s="10"/>
      <c r="F64" s="69"/>
      <c r="G64" s="66">
        <f t="shared" si="0"/>
        <v>0</v>
      </c>
      <c r="H64" s="2"/>
      <c r="I64" s="2"/>
      <c r="J64" s="51"/>
    </row>
    <row r="65" spans="1:10" ht="18.75" hidden="1" x14ac:dyDescent="0.2">
      <c r="A65" s="23" t="s">
        <v>73</v>
      </c>
      <c r="B65" s="4"/>
      <c r="C65" s="4"/>
      <c r="D65" s="12"/>
      <c r="E65" s="10"/>
      <c r="F65" s="69"/>
      <c r="G65" s="66">
        <f t="shared" si="0"/>
        <v>0</v>
      </c>
      <c r="H65" s="3"/>
      <c r="I65" s="3"/>
      <c r="J65" s="48"/>
    </row>
    <row r="66" spans="1:10" ht="56.25" hidden="1" x14ac:dyDescent="0.2">
      <c r="A66" s="23" t="s">
        <v>74</v>
      </c>
      <c r="B66" s="4" t="s">
        <v>88</v>
      </c>
      <c r="C66" s="4" t="s">
        <v>18</v>
      </c>
      <c r="D66" s="12" t="s">
        <v>19</v>
      </c>
      <c r="E66" s="10" t="s">
        <v>126</v>
      </c>
      <c r="F66" s="69"/>
      <c r="G66" s="66">
        <f t="shared" si="0"/>
        <v>0</v>
      </c>
      <c r="H66" s="3"/>
      <c r="I66" s="3"/>
      <c r="J66" s="48"/>
    </row>
    <row r="67" spans="1:10" ht="37.5" hidden="1" x14ac:dyDescent="0.2">
      <c r="A67" s="23" t="s">
        <v>74</v>
      </c>
      <c r="B67" s="4" t="s">
        <v>88</v>
      </c>
      <c r="C67" s="4" t="s">
        <v>18</v>
      </c>
      <c r="D67" s="12" t="s">
        <v>19</v>
      </c>
      <c r="E67" s="10" t="s">
        <v>53</v>
      </c>
      <c r="F67" s="69"/>
      <c r="G67" s="66">
        <f t="shared" si="0"/>
        <v>0</v>
      </c>
      <c r="H67" s="3"/>
      <c r="I67" s="3"/>
      <c r="J67" s="48"/>
    </row>
    <row r="68" spans="1:10" ht="37.5" hidden="1" x14ac:dyDescent="0.2">
      <c r="A68" s="23" t="s">
        <v>74</v>
      </c>
      <c r="B68" s="4" t="s">
        <v>88</v>
      </c>
      <c r="C68" s="4" t="s">
        <v>18</v>
      </c>
      <c r="D68" s="12" t="s">
        <v>19</v>
      </c>
      <c r="E68" s="10" t="s">
        <v>56</v>
      </c>
      <c r="F68" s="69"/>
      <c r="G68" s="66">
        <f t="shared" si="0"/>
        <v>0</v>
      </c>
      <c r="H68" s="3"/>
      <c r="I68" s="3"/>
      <c r="J68" s="48"/>
    </row>
    <row r="69" spans="1:10" ht="75" hidden="1" x14ac:dyDescent="0.2">
      <c r="A69" s="23" t="s">
        <v>74</v>
      </c>
      <c r="B69" s="4" t="s">
        <v>88</v>
      </c>
      <c r="C69" s="4" t="s">
        <v>18</v>
      </c>
      <c r="D69" s="12" t="s">
        <v>19</v>
      </c>
      <c r="E69" s="10" t="s">
        <v>131</v>
      </c>
      <c r="F69" s="69"/>
      <c r="G69" s="66">
        <f t="shared" si="0"/>
        <v>0</v>
      </c>
      <c r="H69" s="2"/>
      <c r="I69" s="3"/>
      <c r="J69" s="48"/>
    </row>
    <row r="70" spans="1:10" ht="18.75" hidden="1" x14ac:dyDescent="0.2">
      <c r="A70" s="23"/>
      <c r="B70" s="4"/>
      <c r="C70" s="4"/>
      <c r="D70" s="18"/>
      <c r="E70" s="10"/>
      <c r="F70" s="69"/>
      <c r="G70" s="66">
        <f t="shared" si="0"/>
        <v>0</v>
      </c>
      <c r="H70" s="3"/>
      <c r="I70" s="3"/>
      <c r="J70" s="48"/>
    </row>
    <row r="71" spans="1:10" ht="56.25" customHeight="1" x14ac:dyDescent="0.2">
      <c r="A71" s="53" t="s">
        <v>137</v>
      </c>
      <c r="B71" s="36"/>
      <c r="C71" s="36"/>
      <c r="D71" s="37" t="s">
        <v>49</v>
      </c>
      <c r="E71" s="96"/>
      <c r="F71" s="70"/>
      <c r="G71" s="65">
        <f t="shared" si="0"/>
        <v>465070</v>
      </c>
      <c r="H71" s="38">
        <f>H75+H76+H79+H77+H78</f>
        <v>465070</v>
      </c>
      <c r="I71" s="38">
        <f>SUM(I72:I74)</f>
        <v>0</v>
      </c>
      <c r="J71" s="52"/>
    </row>
    <row r="72" spans="1:10" ht="58.5" hidden="1" customHeight="1" x14ac:dyDescent="0.2">
      <c r="A72" s="23">
        <v>1011090</v>
      </c>
      <c r="B72" s="4" t="s">
        <v>4</v>
      </c>
      <c r="C72" s="4" t="s">
        <v>41</v>
      </c>
      <c r="D72" s="18" t="s">
        <v>78</v>
      </c>
      <c r="E72" s="10" t="s">
        <v>98</v>
      </c>
      <c r="F72" s="69"/>
      <c r="G72" s="66">
        <f t="shared" si="0"/>
        <v>0</v>
      </c>
      <c r="H72" s="3"/>
      <c r="I72" s="3"/>
      <c r="J72" s="48"/>
    </row>
    <row r="73" spans="1:10" ht="27.75" hidden="1" customHeight="1" thickBot="1" x14ac:dyDescent="0.25">
      <c r="A73" s="23"/>
      <c r="B73" s="4" t="s">
        <v>50</v>
      </c>
      <c r="C73" s="4" t="s">
        <v>42</v>
      </c>
      <c r="D73" s="18" t="s">
        <v>51</v>
      </c>
      <c r="E73" s="10" t="s">
        <v>52</v>
      </c>
      <c r="F73" s="69"/>
      <c r="G73" s="66">
        <f t="shared" si="0"/>
        <v>0</v>
      </c>
      <c r="H73" s="3"/>
      <c r="I73" s="3"/>
      <c r="J73" s="48"/>
    </row>
    <row r="74" spans="1:10" ht="37.5" hidden="1" customHeight="1" x14ac:dyDescent="0.2">
      <c r="A74" s="23" t="s">
        <v>161</v>
      </c>
      <c r="B74" s="4" t="s">
        <v>162</v>
      </c>
      <c r="C74" s="4"/>
      <c r="D74" s="18" t="s">
        <v>160</v>
      </c>
      <c r="E74" s="10"/>
      <c r="F74" s="69"/>
      <c r="G74" s="66">
        <f t="shared" si="0"/>
        <v>225070</v>
      </c>
      <c r="H74" s="3">
        <f>H75+H79</f>
        <v>225070</v>
      </c>
      <c r="I74" s="3"/>
      <c r="J74" s="48"/>
    </row>
    <row r="75" spans="1:10" ht="60" customHeight="1" x14ac:dyDescent="0.2">
      <c r="A75" s="25" t="s">
        <v>560</v>
      </c>
      <c r="B75" s="7" t="s">
        <v>561</v>
      </c>
      <c r="C75" s="7" t="s">
        <v>42</v>
      </c>
      <c r="D75" s="26" t="s">
        <v>242</v>
      </c>
      <c r="E75" s="10" t="s">
        <v>342</v>
      </c>
      <c r="F75" s="170" t="s">
        <v>515</v>
      </c>
      <c r="G75" s="66">
        <f t="shared" si="0"/>
        <v>85070</v>
      </c>
      <c r="H75" s="27">
        <f>78000+7070</f>
        <v>85070</v>
      </c>
      <c r="I75" s="27"/>
      <c r="J75" s="49"/>
    </row>
    <row r="76" spans="1:10" ht="37.5" hidden="1" x14ac:dyDescent="0.2">
      <c r="A76" s="25" t="s">
        <v>240</v>
      </c>
      <c r="B76" s="7" t="s">
        <v>241</v>
      </c>
      <c r="C76" s="7" t="s">
        <v>42</v>
      </c>
      <c r="D76" s="26" t="s">
        <v>242</v>
      </c>
      <c r="E76" s="10" t="s">
        <v>440</v>
      </c>
      <c r="F76" s="172"/>
      <c r="G76" s="66">
        <f t="shared" si="0"/>
        <v>0</v>
      </c>
      <c r="H76" s="27"/>
      <c r="I76" s="27"/>
      <c r="J76" s="49"/>
    </row>
    <row r="77" spans="1:10" ht="37.5" x14ac:dyDescent="0.3">
      <c r="A77" s="25" t="s">
        <v>560</v>
      </c>
      <c r="B77" s="7" t="s">
        <v>561</v>
      </c>
      <c r="C77" s="7" t="s">
        <v>42</v>
      </c>
      <c r="D77" s="26" t="s">
        <v>242</v>
      </c>
      <c r="E77" s="31" t="s">
        <v>623</v>
      </c>
      <c r="F77" s="32" t="s">
        <v>639</v>
      </c>
      <c r="G77" s="66">
        <f t="shared" si="0"/>
        <v>50000</v>
      </c>
      <c r="H77" s="27">
        <v>50000</v>
      </c>
      <c r="I77" s="27"/>
      <c r="J77" s="49"/>
    </row>
    <row r="78" spans="1:10" ht="37.5" x14ac:dyDescent="0.3">
      <c r="A78" s="25" t="s">
        <v>560</v>
      </c>
      <c r="B78" s="7" t="s">
        <v>561</v>
      </c>
      <c r="C78" s="7" t="s">
        <v>42</v>
      </c>
      <c r="D78" s="26" t="s">
        <v>242</v>
      </c>
      <c r="E78" s="31" t="s">
        <v>649</v>
      </c>
      <c r="F78" s="32" t="s">
        <v>642</v>
      </c>
      <c r="G78" s="66">
        <f t="shared" si="0"/>
        <v>190000</v>
      </c>
      <c r="H78" s="27">
        <f>100000+90000</f>
        <v>190000</v>
      </c>
      <c r="I78" s="27"/>
      <c r="J78" s="49"/>
    </row>
    <row r="79" spans="1:10" ht="37.5" x14ac:dyDescent="0.2">
      <c r="A79" s="25" t="s">
        <v>560</v>
      </c>
      <c r="B79" s="7" t="s">
        <v>561</v>
      </c>
      <c r="C79" s="7" t="s">
        <v>42</v>
      </c>
      <c r="D79" s="26" t="s">
        <v>242</v>
      </c>
      <c r="E79" s="10" t="s">
        <v>383</v>
      </c>
      <c r="F79" s="32" t="s">
        <v>516</v>
      </c>
      <c r="G79" s="66">
        <f t="shared" si="0"/>
        <v>140000</v>
      </c>
      <c r="H79" s="27">
        <f>200000-60000</f>
        <v>140000</v>
      </c>
      <c r="I79" s="27"/>
      <c r="J79" s="49"/>
    </row>
    <row r="80" spans="1:10" ht="56.25" x14ac:dyDescent="0.35">
      <c r="A80" s="53" t="s">
        <v>138</v>
      </c>
      <c r="B80" s="36"/>
      <c r="C80" s="36"/>
      <c r="D80" s="29" t="s">
        <v>20</v>
      </c>
      <c r="E80" s="97"/>
      <c r="F80" s="71"/>
      <c r="G80" s="65">
        <f>H80+I80</f>
        <v>43071491</v>
      </c>
      <c r="H80" s="5">
        <f>SUM(H84:H110)</f>
        <v>32955591</v>
      </c>
      <c r="I80" s="5">
        <f>I91+I93+I102+I83+I109+I84+I85+I86+I87+I88+I110</f>
        <v>10115900</v>
      </c>
      <c r="J80" s="54">
        <f>J91+J93+J102+J83+J109+J84+J85+J86+J87+J88+J110</f>
        <v>5224900</v>
      </c>
    </row>
    <row r="81" spans="1:10" ht="0.75" hidden="1" customHeight="1" x14ac:dyDescent="0.3">
      <c r="A81" s="23"/>
      <c r="B81" s="4" t="s">
        <v>21</v>
      </c>
      <c r="C81" s="4"/>
      <c r="D81" s="1" t="s">
        <v>22</v>
      </c>
      <c r="E81" s="33"/>
      <c r="F81" s="72"/>
      <c r="G81" s="66">
        <f t="shared" si="0"/>
        <v>0</v>
      </c>
      <c r="H81" s="2"/>
      <c r="I81" s="2"/>
      <c r="J81" s="51"/>
    </row>
    <row r="82" spans="1:10" ht="15.75" hidden="1" customHeight="1" x14ac:dyDescent="0.3">
      <c r="A82" s="23"/>
      <c r="B82" s="4" t="s">
        <v>23</v>
      </c>
      <c r="C82" s="4"/>
      <c r="D82" s="1" t="s">
        <v>24</v>
      </c>
      <c r="E82" s="33"/>
      <c r="F82" s="72"/>
      <c r="G82" s="66">
        <f t="shared" si="0"/>
        <v>0</v>
      </c>
      <c r="H82" s="2"/>
      <c r="I82" s="2"/>
      <c r="J82" s="51"/>
    </row>
    <row r="83" spans="1:10" ht="22.5" hidden="1" customHeight="1" x14ac:dyDescent="0.3">
      <c r="A83" s="23" t="s">
        <v>312</v>
      </c>
      <c r="B83" s="4" t="s">
        <v>228</v>
      </c>
      <c r="C83" s="4"/>
      <c r="D83" s="1" t="s">
        <v>266</v>
      </c>
      <c r="E83" s="33"/>
      <c r="F83" s="72"/>
      <c r="G83" s="66">
        <f t="shared" si="0"/>
        <v>1053100</v>
      </c>
      <c r="H83" s="2">
        <f>H90</f>
        <v>1053100</v>
      </c>
      <c r="I83" s="2">
        <f>I90</f>
        <v>0</v>
      </c>
      <c r="J83" s="51"/>
    </row>
    <row r="84" spans="1:10" ht="117.75" customHeight="1" x14ac:dyDescent="0.2">
      <c r="A84" s="23" t="s">
        <v>441</v>
      </c>
      <c r="B84" s="4" t="s">
        <v>124</v>
      </c>
      <c r="C84" s="4" t="s">
        <v>43</v>
      </c>
      <c r="D84" s="1" t="s">
        <v>125</v>
      </c>
      <c r="E84" s="13" t="s">
        <v>566</v>
      </c>
      <c r="F84" s="32" t="s">
        <v>517</v>
      </c>
      <c r="G84" s="66">
        <f t="shared" si="0"/>
        <v>16181831</v>
      </c>
      <c r="H84" s="2">
        <f>9302911-237680-4000-124700-27000+92500+49000+5700</f>
        <v>9056731</v>
      </c>
      <c r="I84" s="2">
        <v>7125100</v>
      </c>
      <c r="J84" s="51">
        <f>I84-4891000</f>
        <v>2234100</v>
      </c>
    </row>
    <row r="85" spans="1:10" ht="36.75" hidden="1" customHeight="1" x14ac:dyDescent="0.2">
      <c r="A85" s="23" t="s">
        <v>441</v>
      </c>
      <c r="B85" s="4" t="s">
        <v>124</v>
      </c>
      <c r="C85" s="4" t="s">
        <v>43</v>
      </c>
      <c r="D85" s="1" t="s">
        <v>125</v>
      </c>
      <c r="E85" s="13" t="s">
        <v>445</v>
      </c>
      <c r="F85" s="32" t="s">
        <v>518</v>
      </c>
      <c r="G85" s="66">
        <f t="shared" si="0"/>
        <v>0</v>
      </c>
      <c r="H85" s="2"/>
      <c r="I85" s="2"/>
      <c r="J85" s="51">
        <f>I85</f>
        <v>0</v>
      </c>
    </row>
    <row r="86" spans="1:10" ht="56.25" hidden="1" customHeight="1" x14ac:dyDescent="0.2">
      <c r="A86" s="23" t="s">
        <v>441</v>
      </c>
      <c r="B86" s="4" t="s">
        <v>124</v>
      </c>
      <c r="C86" s="4" t="s">
        <v>43</v>
      </c>
      <c r="D86" s="1" t="s">
        <v>125</v>
      </c>
      <c r="E86" s="13" t="s">
        <v>445</v>
      </c>
      <c r="F86" s="32" t="s">
        <v>519</v>
      </c>
      <c r="G86" s="66">
        <f t="shared" si="0"/>
        <v>0</v>
      </c>
      <c r="H86" s="2"/>
      <c r="I86" s="2"/>
      <c r="J86" s="51"/>
    </row>
    <row r="87" spans="1:10" ht="96.75" hidden="1" customHeight="1" x14ac:dyDescent="0.2">
      <c r="A87" s="23" t="s">
        <v>441</v>
      </c>
      <c r="B87" s="4" t="s">
        <v>124</v>
      </c>
      <c r="C87" s="4" t="s">
        <v>43</v>
      </c>
      <c r="D87" s="1" t="s">
        <v>125</v>
      </c>
      <c r="E87" s="13" t="s">
        <v>567</v>
      </c>
      <c r="F87" s="32" t="s">
        <v>518</v>
      </c>
      <c r="G87" s="66">
        <f t="shared" si="0"/>
        <v>0</v>
      </c>
      <c r="H87" s="2"/>
      <c r="I87" s="2"/>
      <c r="J87" s="51"/>
    </row>
    <row r="88" spans="1:10" ht="93.75" x14ac:dyDescent="0.2">
      <c r="A88" s="23" t="s">
        <v>343</v>
      </c>
      <c r="B88" s="4" t="s">
        <v>307</v>
      </c>
      <c r="C88" s="4" t="s">
        <v>308</v>
      </c>
      <c r="D88" s="1" t="s">
        <v>309</v>
      </c>
      <c r="E88" s="13" t="s">
        <v>568</v>
      </c>
      <c r="F88" s="32" t="s">
        <v>605</v>
      </c>
      <c r="G88" s="66">
        <f t="shared" si="0"/>
        <v>20101080</v>
      </c>
      <c r="H88" s="2">
        <f>14054800-491600+4039000-156000+515380-756300+33000-360000+232000</f>
        <v>17110280</v>
      </c>
      <c r="I88" s="2">
        <f>400000+668200+491600+156000+370300+90700+38100-9700-5000+790600</f>
        <v>2990800</v>
      </c>
      <c r="J88" s="51">
        <f>I88</f>
        <v>2990800</v>
      </c>
    </row>
    <row r="89" spans="1:10" ht="37.5" hidden="1" customHeight="1" x14ac:dyDescent="0.2">
      <c r="A89" s="23" t="s">
        <v>416</v>
      </c>
      <c r="B89" s="4" t="s">
        <v>417</v>
      </c>
      <c r="C89" s="4" t="s">
        <v>418</v>
      </c>
      <c r="D89" s="12" t="s">
        <v>419</v>
      </c>
      <c r="E89" s="10" t="s">
        <v>426</v>
      </c>
      <c r="F89" s="32" t="s">
        <v>520</v>
      </c>
      <c r="G89" s="66">
        <f t="shared" si="0"/>
        <v>0</v>
      </c>
      <c r="H89" s="2"/>
      <c r="I89" s="2"/>
      <c r="J89" s="51"/>
    </row>
    <row r="90" spans="1:10" ht="81.75" customHeight="1" x14ac:dyDescent="0.2">
      <c r="A90" s="25" t="s">
        <v>313</v>
      </c>
      <c r="B90" s="7" t="s">
        <v>230</v>
      </c>
      <c r="C90" s="7" t="s">
        <v>314</v>
      </c>
      <c r="D90" s="14" t="s">
        <v>231</v>
      </c>
      <c r="E90" s="13" t="s">
        <v>495</v>
      </c>
      <c r="F90" s="32" t="s">
        <v>520</v>
      </c>
      <c r="G90" s="66">
        <f t="shared" si="0"/>
        <v>1053100</v>
      </c>
      <c r="H90" s="8">
        <f>2816100-1792000+29000</f>
        <v>1053100</v>
      </c>
      <c r="I90" s="8"/>
      <c r="J90" s="50"/>
    </row>
    <row r="91" spans="1:10" ht="41.25" hidden="1" customHeight="1" x14ac:dyDescent="0.2">
      <c r="A91" s="23" t="s">
        <v>170</v>
      </c>
      <c r="B91" s="4" t="s">
        <v>171</v>
      </c>
      <c r="C91" s="4"/>
      <c r="D91" s="131" t="s">
        <v>112</v>
      </c>
      <c r="E91" s="10"/>
      <c r="F91" s="32" t="s">
        <v>521</v>
      </c>
      <c r="G91" s="66">
        <f t="shared" si="0"/>
        <v>0</v>
      </c>
      <c r="H91" s="2"/>
      <c r="I91" s="2"/>
      <c r="J91" s="51"/>
    </row>
    <row r="92" spans="1:10" ht="56.25" hidden="1" customHeight="1" x14ac:dyDescent="0.2">
      <c r="A92" s="25" t="s">
        <v>172</v>
      </c>
      <c r="B92" s="7" t="s">
        <v>173</v>
      </c>
      <c r="C92" s="7" t="s">
        <v>26</v>
      </c>
      <c r="D92" s="13" t="s">
        <v>175</v>
      </c>
      <c r="E92" s="10" t="s">
        <v>235</v>
      </c>
      <c r="F92" s="32" t="s">
        <v>522</v>
      </c>
      <c r="G92" s="66">
        <f t="shared" ref="G92:G160" si="1">H92+I92</f>
        <v>0</v>
      </c>
      <c r="H92" s="8"/>
      <c r="I92" s="8"/>
      <c r="J92" s="50"/>
    </row>
    <row r="93" spans="1:10" ht="37.5" hidden="1" customHeight="1" x14ac:dyDescent="0.2">
      <c r="A93" s="23" t="s">
        <v>177</v>
      </c>
      <c r="B93" s="4" t="s">
        <v>174</v>
      </c>
      <c r="C93" s="4"/>
      <c r="D93" s="12" t="s">
        <v>176</v>
      </c>
      <c r="E93" s="10"/>
      <c r="F93" s="32" t="s">
        <v>523</v>
      </c>
      <c r="G93" s="66">
        <f t="shared" si="1"/>
        <v>0</v>
      </c>
      <c r="H93" s="2"/>
      <c r="I93" s="2"/>
      <c r="J93" s="51"/>
    </row>
    <row r="94" spans="1:10" ht="37.5" hidden="1" x14ac:dyDescent="0.2">
      <c r="A94" s="25" t="s">
        <v>243</v>
      </c>
      <c r="B94" s="7" t="s">
        <v>244</v>
      </c>
      <c r="C94" s="7" t="s">
        <v>26</v>
      </c>
      <c r="D94" s="13" t="s">
        <v>245</v>
      </c>
      <c r="E94" s="10" t="s">
        <v>344</v>
      </c>
      <c r="F94" s="32" t="s">
        <v>524</v>
      </c>
      <c r="G94" s="66">
        <f t="shared" si="1"/>
        <v>0</v>
      </c>
      <c r="H94" s="8"/>
      <c r="I94" s="8"/>
      <c r="J94" s="50"/>
    </row>
    <row r="95" spans="1:10" ht="39" customHeight="1" x14ac:dyDescent="0.2">
      <c r="A95" s="25" t="s">
        <v>243</v>
      </c>
      <c r="B95" s="7" t="s">
        <v>244</v>
      </c>
      <c r="C95" s="7" t="s">
        <v>26</v>
      </c>
      <c r="D95" s="13" t="s">
        <v>245</v>
      </c>
      <c r="E95" s="10" t="s">
        <v>384</v>
      </c>
      <c r="F95" s="32" t="s">
        <v>521</v>
      </c>
      <c r="G95" s="66">
        <f t="shared" si="1"/>
        <v>3100000</v>
      </c>
      <c r="H95" s="8">
        <f>2500000+50000+250000+300000</f>
        <v>3100000</v>
      </c>
      <c r="I95" s="8"/>
      <c r="J95" s="50"/>
    </row>
    <row r="96" spans="1:10" ht="39.75" customHeight="1" x14ac:dyDescent="0.2">
      <c r="A96" s="25" t="s">
        <v>243</v>
      </c>
      <c r="B96" s="7" t="s">
        <v>244</v>
      </c>
      <c r="C96" s="7" t="s">
        <v>26</v>
      </c>
      <c r="D96" s="13" t="s">
        <v>245</v>
      </c>
      <c r="E96" s="10" t="s">
        <v>345</v>
      </c>
      <c r="F96" s="32" t="s">
        <v>522</v>
      </c>
      <c r="G96" s="66">
        <f t="shared" si="1"/>
        <v>42380</v>
      </c>
      <c r="H96" s="8">
        <f>50000-7620</f>
        <v>42380</v>
      </c>
      <c r="I96" s="8"/>
      <c r="J96" s="50"/>
    </row>
    <row r="97" spans="1:10" ht="37.5" hidden="1" x14ac:dyDescent="0.2">
      <c r="A97" s="25" t="s">
        <v>243</v>
      </c>
      <c r="B97" s="7" t="s">
        <v>244</v>
      </c>
      <c r="C97" s="7" t="s">
        <v>26</v>
      </c>
      <c r="D97" s="13" t="s">
        <v>245</v>
      </c>
      <c r="E97" s="10" t="s">
        <v>348</v>
      </c>
      <c r="F97" s="32" t="s">
        <v>523</v>
      </c>
      <c r="G97" s="66">
        <f t="shared" si="1"/>
        <v>0</v>
      </c>
      <c r="H97" s="8"/>
      <c r="I97" s="8"/>
      <c r="J97" s="50"/>
    </row>
    <row r="98" spans="1:10" ht="37.5" hidden="1" customHeight="1" x14ac:dyDescent="0.2">
      <c r="A98" s="25" t="s">
        <v>243</v>
      </c>
      <c r="B98" s="7" t="s">
        <v>244</v>
      </c>
      <c r="C98" s="7" t="s">
        <v>26</v>
      </c>
      <c r="D98" s="13" t="s">
        <v>245</v>
      </c>
      <c r="E98" s="10" t="s">
        <v>346</v>
      </c>
      <c r="F98" s="32" t="s">
        <v>524</v>
      </c>
      <c r="G98" s="66">
        <f t="shared" si="1"/>
        <v>0</v>
      </c>
      <c r="H98" s="8"/>
      <c r="I98" s="8"/>
      <c r="J98" s="50"/>
    </row>
    <row r="99" spans="1:10" ht="79.5" hidden="1" customHeight="1" x14ac:dyDescent="0.2">
      <c r="A99" s="25" t="s">
        <v>442</v>
      </c>
      <c r="B99" s="7" t="s">
        <v>443</v>
      </c>
      <c r="C99" s="7" t="s">
        <v>26</v>
      </c>
      <c r="D99" s="13" t="s">
        <v>444</v>
      </c>
      <c r="E99" s="10" t="s">
        <v>474</v>
      </c>
      <c r="F99" s="32" t="s">
        <v>523</v>
      </c>
      <c r="G99" s="66">
        <f t="shared" si="1"/>
        <v>0</v>
      </c>
      <c r="H99" s="8"/>
      <c r="I99" s="8"/>
      <c r="J99" s="50"/>
    </row>
    <row r="100" spans="1:10" ht="42.75" customHeight="1" x14ac:dyDescent="0.2">
      <c r="A100" s="25" t="s">
        <v>243</v>
      </c>
      <c r="B100" s="7" t="s">
        <v>244</v>
      </c>
      <c r="C100" s="7" t="s">
        <v>26</v>
      </c>
      <c r="D100" s="13" t="s">
        <v>245</v>
      </c>
      <c r="E100" s="10" t="s">
        <v>467</v>
      </c>
      <c r="F100" s="32" t="s">
        <v>524</v>
      </c>
      <c r="G100" s="66">
        <f t="shared" si="1"/>
        <v>1516400</v>
      </c>
      <c r="H100" s="8">
        <f>3500000-1983600</f>
        <v>1516400</v>
      </c>
      <c r="I100" s="8"/>
      <c r="J100" s="50"/>
    </row>
    <row r="101" spans="1:10" ht="37.5" hidden="1" customHeight="1" x14ac:dyDescent="0.2">
      <c r="A101" s="25" t="s">
        <v>243</v>
      </c>
      <c r="B101" s="7" t="s">
        <v>244</v>
      </c>
      <c r="C101" s="7" t="s">
        <v>26</v>
      </c>
      <c r="D101" s="13" t="s">
        <v>245</v>
      </c>
      <c r="E101" s="10" t="s">
        <v>347</v>
      </c>
      <c r="F101" s="32" t="s">
        <v>525</v>
      </c>
      <c r="G101" s="66">
        <f t="shared" si="1"/>
        <v>0</v>
      </c>
      <c r="H101" s="8"/>
      <c r="I101" s="8"/>
      <c r="J101" s="50"/>
    </row>
    <row r="102" spans="1:10" ht="56.25" hidden="1" customHeight="1" x14ac:dyDescent="0.2">
      <c r="A102" s="25" t="s">
        <v>243</v>
      </c>
      <c r="B102" s="7" t="s">
        <v>244</v>
      </c>
      <c r="C102" s="7" t="s">
        <v>26</v>
      </c>
      <c r="D102" s="13" t="s">
        <v>245</v>
      </c>
      <c r="E102" s="10" t="s">
        <v>365</v>
      </c>
      <c r="F102" s="32" t="s">
        <v>526</v>
      </c>
      <c r="G102" s="66">
        <f t="shared" si="1"/>
        <v>0</v>
      </c>
      <c r="H102" s="2"/>
      <c r="I102" s="2"/>
      <c r="J102" s="51"/>
    </row>
    <row r="103" spans="1:10" ht="18.75" hidden="1" customHeight="1" x14ac:dyDescent="0.2">
      <c r="A103" s="25"/>
      <c r="B103" s="4"/>
      <c r="C103" s="4"/>
      <c r="D103" s="13"/>
      <c r="E103" s="10"/>
      <c r="F103" s="32" t="s">
        <v>527</v>
      </c>
      <c r="G103" s="66">
        <f t="shared" si="1"/>
        <v>0</v>
      </c>
      <c r="H103" s="2"/>
      <c r="I103" s="2"/>
      <c r="J103" s="51"/>
    </row>
    <row r="104" spans="1:10" ht="56.25" hidden="1" customHeight="1" x14ac:dyDescent="0.2">
      <c r="A104" s="23"/>
      <c r="B104" s="4" t="s">
        <v>25</v>
      </c>
      <c r="C104" s="4"/>
      <c r="D104" s="12" t="s">
        <v>27</v>
      </c>
      <c r="E104" s="10" t="s">
        <v>28</v>
      </c>
      <c r="F104" s="32" t="s">
        <v>528</v>
      </c>
      <c r="G104" s="66">
        <f t="shared" si="1"/>
        <v>0</v>
      </c>
      <c r="H104" s="2"/>
      <c r="I104" s="2"/>
      <c r="J104" s="51"/>
    </row>
    <row r="105" spans="1:10" ht="18.75" hidden="1" customHeight="1" x14ac:dyDescent="0.2">
      <c r="A105" s="23"/>
      <c r="B105" s="4"/>
      <c r="C105" s="4"/>
      <c r="D105" s="12"/>
      <c r="E105" s="10"/>
      <c r="F105" s="32" t="s">
        <v>529</v>
      </c>
      <c r="G105" s="66">
        <f t="shared" si="1"/>
        <v>0</v>
      </c>
      <c r="H105" s="2"/>
      <c r="I105" s="2"/>
      <c r="J105" s="51"/>
    </row>
    <row r="106" spans="1:10" ht="56.25" x14ac:dyDescent="0.2">
      <c r="A106" s="25" t="s">
        <v>243</v>
      </c>
      <c r="B106" s="7" t="s">
        <v>244</v>
      </c>
      <c r="C106" s="7" t="s">
        <v>26</v>
      </c>
      <c r="D106" s="13" t="s">
        <v>245</v>
      </c>
      <c r="E106" s="10" t="s">
        <v>569</v>
      </c>
      <c r="F106" s="32" t="s">
        <v>525</v>
      </c>
      <c r="G106" s="66">
        <f t="shared" si="1"/>
        <v>561400</v>
      </c>
      <c r="H106" s="2">
        <f>500000-138500+4000+195900</f>
        <v>561400</v>
      </c>
      <c r="I106" s="2"/>
      <c r="J106" s="51"/>
    </row>
    <row r="107" spans="1:10" ht="93.75" hidden="1" x14ac:dyDescent="0.2">
      <c r="A107" s="25" t="s">
        <v>243</v>
      </c>
      <c r="B107" s="7" t="s">
        <v>244</v>
      </c>
      <c r="C107" s="7" t="s">
        <v>26</v>
      </c>
      <c r="D107" s="13" t="s">
        <v>245</v>
      </c>
      <c r="E107" s="10" t="s">
        <v>476</v>
      </c>
      <c r="F107" s="32" t="s">
        <v>526</v>
      </c>
      <c r="G107" s="66">
        <f t="shared" si="1"/>
        <v>0</v>
      </c>
      <c r="H107" s="2"/>
      <c r="I107" s="2"/>
      <c r="J107" s="51"/>
    </row>
    <row r="108" spans="1:10" ht="66" customHeight="1" x14ac:dyDescent="0.2">
      <c r="A108" s="25" t="s">
        <v>243</v>
      </c>
      <c r="B108" s="7" t="s">
        <v>244</v>
      </c>
      <c r="C108" s="7" t="s">
        <v>26</v>
      </c>
      <c r="D108" s="13" t="s">
        <v>245</v>
      </c>
      <c r="E108" s="10" t="s">
        <v>501</v>
      </c>
      <c r="F108" s="32" t="s">
        <v>526</v>
      </c>
      <c r="G108" s="66">
        <f t="shared" si="1"/>
        <v>515300</v>
      </c>
      <c r="H108" s="2">
        <f>570000-49000-5700</f>
        <v>515300</v>
      </c>
      <c r="I108" s="2"/>
      <c r="J108" s="51"/>
    </row>
    <row r="109" spans="1:10" ht="37.5" hidden="1" x14ac:dyDescent="0.2">
      <c r="A109" s="25" t="s">
        <v>243</v>
      </c>
      <c r="B109" s="7" t="s">
        <v>244</v>
      </c>
      <c r="C109" s="7" t="s">
        <v>26</v>
      </c>
      <c r="D109" s="13" t="s">
        <v>245</v>
      </c>
      <c r="E109" s="10" t="s">
        <v>381</v>
      </c>
      <c r="F109" s="32"/>
      <c r="G109" s="66">
        <f>H109+I109</f>
        <v>0</v>
      </c>
      <c r="H109" s="2"/>
      <c r="I109" s="2"/>
      <c r="J109" s="51"/>
    </row>
    <row r="110" spans="1:10" ht="56.25" hidden="1" x14ac:dyDescent="0.2">
      <c r="A110" s="25" t="s">
        <v>475</v>
      </c>
      <c r="B110" s="7" t="s">
        <v>409</v>
      </c>
      <c r="C110" s="4" t="s">
        <v>12</v>
      </c>
      <c r="D110" s="35" t="s">
        <v>414</v>
      </c>
      <c r="E110" s="10" t="s">
        <v>445</v>
      </c>
      <c r="F110" s="32"/>
      <c r="G110" s="66">
        <f>H110+I110</f>
        <v>0</v>
      </c>
      <c r="H110" s="2"/>
      <c r="I110" s="2"/>
      <c r="J110" s="51">
        <f>I110</f>
        <v>0</v>
      </c>
    </row>
    <row r="111" spans="1:10" ht="56.25" x14ac:dyDescent="0.2">
      <c r="A111" s="53" t="s">
        <v>139</v>
      </c>
      <c r="B111" s="36"/>
      <c r="C111" s="36"/>
      <c r="D111" s="29" t="s">
        <v>29</v>
      </c>
      <c r="E111" s="39"/>
      <c r="F111" s="39"/>
      <c r="G111" s="65">
        <f>H111+I111</f>
        <v>24353522</v>
      </c>
      <c r="H111" s="38">
        <f>H113+H114+H116+H118+H120+H122+H123+H124+H126+H129+H130+H131+H135+H137+H145+H136+H134</f>
        <v>22429622</v>
      </c>
      <c r="I111" s="38">
        <f>I118+I129+I134</f>
        <v>1923900</v>
      </c>
      <c r="J111" s="38">
        <f>J118+J129+J134</f>
        <v>1923900</v>
      </c>
    </row>
    <row r="112" spans="1:10" ht="99.75" hidden="1" customHeight="1" x14ac:dyDescent="0.2">
      <c r="A112" s="23" t="s">
        <v>178</v>
      </c>
      <c r="B112" s="111" t="s">
        <v>118</v>
      </c>
      <c r="C112" s="4"/>
      <c r="D112" s="1" t="s">
        <v>179</v>
      </c>
      <c r="E112" s="167" t="s">
        <v>349</v>
      </c>
      <c r="F112" s="32"/>
      <c r="G112" s="66">
        <f t="shared" si="1"/>
        <v>843200</v>
      </c>
      <c r="H112" s="3">
        <f>SUM(H113:H116)</f>
        <v>843200</v>
      </c>
      <c r="I112" s="3">
        <f>SUM(I113:I116)</f>
        <v>0</v>
      </c>
      <c r="J112" s="48">
        <f>SUM(J113:J116)</f>
        <v>0</v>
      </c>
    </row>
    <row r="113" spans="1:10" ht="63" customHeight="1" x14ac:dyDescent="0.2">
      <c r="A113" s="25" t="s">
        <v>180</v>
      </c>
      <c r="B113" s="42" t="s">
        <v>119</v>
      </c>
      <c r="C113" s="7" t="s">
        <v>5</v>
      </c>
      <c r="D113" s="14" t="s">
        <v>181</v>
      </c>
      <c r="E113" s="168"/>
      <c r="F113" s="170" t="s">
        <v>527</v>
      </c>
      <c r="G113" s="66">
        <f t="shared" si="1"/>
        <v>171200</v>
      </c>
      <c r="H113" s="3">
        <f>184200-13000</f>
        <v>171200</v>
      </c>
      <c r="I113" s="3"/>
      <c r="J113" s="48"/>
    </row>
    <row r="114" spans="1:10" ht="42" customHeight="1" x14ac:dyDescent="0.2">
      <c r="A114" s="25" t="s">
        <v>183</v>
      </c>
      <c r="B114" s="42" t="s">
        <v>182</v>
      </c>
      <c r="C114" s="7" t="s">
        <v>121</v>
      </c>
      <c r="D114" s="14" t="s">
        <v>122</v>
      </c>
      <c r="E114" s="168"/>
      <c r="F114" s="171"/>
      <c r="G114" s="66">
        <f t="shared" si="1"/>
        <v>12000</v>
      </c>
      <c r="H114" s="3">
        <v>12000</v>
      </c>
      <c r="I114" s="3"/>
      <c r="J114" s="48"/>
    </row>
    <row r="115" spans="1:10" ht="75" hidden="1" customHeight="1" x14ac:dyDescent="0.2">
      <c r="A115" s="25" t="s">
        <v>184</v>
      </c>
      <c r="B115" s="42" t="s">
        <v>120</v>
      </c>
      <c r="C115" s="7" t="s">
        <v>121</v>
      </c>
      <c r="D115" s="14" t="s">
        <v>185</v>
      </c>
      <c r="E115" s="168"/>
      <c r="F115" s="171"/>
      <c r="G115" s="66">
        <f t="shared" si="1"/>
        <v>0</v>
      </c>
      <c r="H115" s="3"/>
      <c r="I115" s="3"/>
      <c r="J115" s="48"/>
    </row>
    <row r="116" spans="1:10" ht="56.25" x14ac:dyDescent="0.2">
      <c r="A116" s="25" t="s">
        <v>187</v>
      </c>
      <c r="B116" s="42" t="s">
        <v>186</v>
      </c>
      <c r="C116" s="7" t="s">
        <v>121</v>
      </c>
      <c r="D116" s="14" t="s">
        <v>123</v>
      </c>
      <c r="E116" s="168"/>
      <c r="F116" s="171"/>
      <c r="G116" s="66">
        <f t="shared" si="1"/>
        <v>660000</v>
      </c>
      <c r="H116" s="3">
        <f>600000+60000</f>
        <v>660000</v>
      </c>
      <c r="I116" s="3"/>
      <c r="J116" s="48"/>
    </row>
    <row r="117" spans="1:10" ht="25.5" hidden="1" customHeight="1" x14ac:dyDescent="0.3">
      <c r="A117" s="23" t="s">
        <v>253</v>
      </c>
      <c r="B117" s="4" t="s">
        <v>254</v>
      </c>
      <c r="C117" s="4"/>
      <c r="D117" s="16" t="s">
        <v>194</v>
      </c>
      <c r="E117" s="168"/>
      <c r="F117" s="171"/>
      <c r="G117" s="66">
        <f t="shared" si="1"/>
        <v>0</v>
      </c>
      <c r="H117" s="2"/>
      <c r="I117" s="2"/>
      <c r="J117" s="51"/>
    </row>
    <row r="118" spans="1:10" ht="40.5" customHeight="1" x14ac:dyDescent="0.3">
      <c r="A118" s="25" t="s">
        <v>255</v>
      </c>
      <c r="B118" s="7" t="s">
        <v>256</v>
      </c>
      <c r="C118" s="7" t="s">
        <v>4</v>
      </c>
      <c r="D118" s="31" t="s">
        <v>257</v>
      </c>
      <c r="E118" s="169"/>
      <c r="F118" s="172"/>
      <c r="G118" s="66">
        <f t="shared" si="1"/>
        <v>309000</v>
      </c>
      <c r="H118" s="8">
        <f>236000-200000-7000</f>
        <v>29000</v>
      </c>
      <c r="I118" s="8">
        <f>320000-40000</f>
        <v>280000</v>
      </c>
      <c r="J118" s="50">
        <f>I118</f>
        <v>280000</v>
      </c>
    </row>
    <row r="119" spans="1:10" ht="37.5" hidden="1" customHeight="1" x14ac:dyDescent="0.3">
      <c r="A119" s="25" t="s">
        <v>255</v>
      </c>
      <c r="B119" s="7" t="s">
        <v>256</v>
      </c>
      <c r="C119" s="7" t="s">
        <v>4</v>
      </c>
      <c r="D119" s="31" t="s">
        <v>257</v>
      </c>
      <c r="E119" s="79"/>
      <c r="F119" s="32"/>
      <c r="G119" s="66">
        <f t="shared" si="1"/>
        <v>0</v>
      </c>
      <c r="H119" s="2"/>
      <c r="I119" s="2"/>
      <c r="J119" s="51"/>
    </row>
    <row r="120" spans="1:10" ht="37.5" x14ac:dyDescent="0.3">
      <c r="A120" s="25" t="s">
        <v>255</v>
      </c>
      <c r="B120" s="7" t="s">
        <v>256</v>
      </c>
      <c r="C120" s="7" t="s">
        <v>4</v>
      </c>
      <c r="D120" s="31" t="s">
        <v>257</v>
      </c>
      <c r="E120" s="146" t="s">
        <v>493</v>
      </c>
      <c r="F120" s="142" t="s">
        <v>528</v>
      </c>
      <c r="G120" s="66">
        <f t="shared" si="1"/>
        <v>772700</v>
      </c>
      <c r="H120" s="2">
        <f>800000-27300</f>
        <v>772700</v>
      </c>
      <c r="I120" s="2"/>
      <c r="J120" s="51"/>
    </row>
    <row r="121" spans="1:10" ht="37.5" hidden="1" customHeight="1" x14ac:dyDescent="0.3">
      <c r="A121" s="23" t="s">
        <v>189</v>
      </c>
      <c r="B121" s="4" t="s">
        <v>113</v>
      </c>
      <c r="C121" s="4"/>
      <c r="D121" s="16" t="s">
        <v>105</v>
      </c>
      <c r="E121" s="147"/>
      <c r="F121" s="143"/>
      <c r="G121" s="66">
        <f t="shared" si="1"/>
        <v>0</v>
      </c>
      <c r="H121" s="2"/>
      <c r="I121" s="2"/>
      <c r="J121" s="51"/>
    </row>
    <row r="122" spans="1:10" ht="45.75" hidden="1" customHeight="1" x14ac:dyDescent="0.2">
      <c r="A122" s="25" t="s">
        <v>188</v>
      </c>
      <c r="B122" s="7" t="s">
        <v>165</v>
      </c>
      <c r="C122" s="7" t="s">
        <v>31</v>
      </c>
      <c r="D122" s="14" t="s">
        <v>106</v>
      </c>
      <c r="E122" s="148"/>
      <c r="F122" s="144"/>
      <c r="G122" s="66">
        <f t="shared" si="1"/>
        <v>0</v>
      </c>
      <c r="H122" s="2"/>
      <c r="I122" s="2"/>
      <c r="J122" s="51"/>
    </row>
    <row r="123" spans="1:10" ht="115.15" customHeight="1" x14ac:dyDescent="0.2">
      <c r="A123" s="23" t="s">
        <v>190</v>
      </c>
      <c r="B123" s="4" t="s">
        <v>89</v>
      </c>
      <c r="C123" s="4" t="s">
        <v>31</v>
      </c>
      <c r="D123" s="12" t="s">
        <v>80</v>
      </c>
      <c r="E123" s="116" t="s">
        <v>350</v>
      </c>
      <c r="F123" s="32" t="s">
        <v>529</v>
      </c>
      <c r="G123" s="66">
        <f t="shared" si="1"/>
        <v>948000</v>
      </c>
      <c r="H123" s="2">
        <f>1000000-52000</f>
        <v>948000</v>
      </c>
      <c r="I123" s="2"/>
      <c r="J123" s="51"/>
    </row>
    <row r="124" spans="1:10" ht="137.44999999999999" customHeight="1" x14ac:dyDescent="0.2">
      <c r="A124" s="23" t="s">
        <v>191</v>
      </c>
      <c r="B124" s="4" t="s">
        <v>102</v>
      </c>
      <c r="C124" s="2">
        <v>1010</v>
      </c>
      <c r="D124" s="1" t="s">
        <v>246</v>
      </c>
      <c r="E124" s="174" t="s">
        <v>379</v>
      </c>
      <c r="F124" s="170" t="s">
        <v>530</v>
      </c>
      <c r="G124" s="66">
        <f t="shared" si="1"/>
        <v>1280000</v>
      </c>
      <c r="H124" s="2">
        <f>1250000+30000</f>
        <v>1280000</v>
      </c>
      <c r="I124" s="2"/>
      <c r="J124" s="51"/>
    </row>
    <row r="125" spans="1:10" ht="24" hidden="1" customHeight="1" x14ac:dyDescent="0.3">
      <c r="A125" s="25" t="s">
        <v>253</v>
      </c>
      <c r="B125" s="4" t="s">
        <v>254</v>
      </c>
      <c r="C125" s="2"/>
      <c r="D125" s="16" t="s">
        <v>194</v>
      </c>
      <c r="E125" s="174"/>
      <c r="F125" s="171"/>
      <c r="G125" s="66">
        <f t="shared" si="1"/>
        <v>0</v>
      </c>
      <c r="H125" s="2"/>
      <c r="I125" s="2"/>
      <c r="J125" s="51"/>
    </row>
    <row r="126" spans="1:10" ht="44.25" customHeight="1" x14ac:dyDescent="0.3">
      <c r="A126" s="25" t="s">
        <v>255</v>
      </c>
      <c r="B126" s="7" t="s">
        <v>256</v>
      </c>
      <c r="C126" s="7" t="s">
        <v>4</v>
      </c>
      <c r="D126" s="31" t="s">
        <v>257</v>
      </c>
      <c r="E126" s="175"/>
      <c r="F126" s="172"/>
      <c r="G126" s="66">
        <f t="shared" si="1"/>
        <v>4749300</v>
      </c>
      <c r="H126" s="2">
        <f>4490000+132000+27300+100000</f>
        <v>4749300</v>
      </c>
      <c r="I126" s="2"/>
      <c r="J126" s="51"/>
    </row>
    <row r="127" spans="1:10" ht="42" hidden="1" customHeight="1" x14ac:dyDescent="0.2">
      <c r="A127" s="23" t="s">
        <v>247</v>
      </c>
      <c r="B127" s="4" t="s">
        <v>248</v>
      </c>
      <c r="C127" s="4"/>
      <c r="D127" s="1" t="s">
        <v>64</v>
      </c>
      <c r="E127" s="98"/>
      <c r="F127" s="73"/>
      <c r="G127" s="66">
        <f t="shared" si="1"/>
        <v>0</v>
      </c>
      <c r="H127" s="2"/>
      <c r="I127" s="2"/>
      <c r="J127" s="51"/>
    </row>
    <row r="128" spans="1:10" ht="37.5" hidden="1" customHeight="1" x14ac:dyDescent="0.3">
      <c r="A128" s="25">
        <v>1513201</v>
      </c>
      <c r="B128" s="7" t="s">
        <v>91</v>
      </c>
      <c r="C128" s="7" t="s">
        <v>5</v>
      </c>
      <c r="D128" s="31" t="s">
        <v>30</v>
      </c>
      <c r="E128" s="14"/>
      <c r="F128" s="68"/>
      <c r="G128" s="66">
        <f t="shared" si="1"/>
        <v>0</v>
      </c>
      <c r="H128" s="2"/>
      <c r="I128" s="2"/>
      <c r="J128" s="51"/>
    </row>
    <row r="129" spans="1:11" ht="75" hidden="1" x14ac:dyDescent="0.3">
      <c r="A129" s="25" t="s">
        <v>249</v>
      </c>
      <c r="B129" s="7" t="s">
        <v>250</v>
      </c>
      <c r="C129" s="7" t="s">
        <v>5</v>
      </c>
      <c r="D129" s="31" t="s">
        <v>261</v>
      </c>
      <c r="E129" s="10" t="s">
        <v>468</v>
      </c>
      <c r="F129" s="32"/>
      <c r="G129" s="66">
        <f t="shared" si="1"/>
        <v>0</v>
      </c>
      <c r="H129" s="2"/>
      <c r="I129" s="2"/>
      <c r="J129" s="51"/>
    </row>
    <row r="130" spans="1:11" ht="75" x14ac:dyDescent="0.3">
      <c r="A130" s="25" t="s">
        <v>249</v>
      </c>
      <c r="B130" s="7" t="s">
        <v>250</v>
      </c>
      <c r="C130" s="7" t="s">
        <v>5</v>
      </c>
      <c r="D130" s="31" t="s">
        <v>562</v>
      </c>
      <c r="E130" s="14" t="s">
        <v>488</v>
      </c>
      <c r="F130" s="32" t="s">
        <v>531</v>
      </c>
      <c r="G130" s="66">
        <f t="shared" si="1"/>
        <v>600000</v>
      </c>
      <c r="H130" s="2">
        <v>600000</v>
      </c>
      <c r="I130" s="2"/>
      <c r="J130" s="51"/>
    </row>
    <row r="131" spans="1:11" ht="39.75" customHeight="1" x14ac:dyDescent="0.2">
      <c r="A131" s="23" t="s">
        <v>251</v>
      </c>
      <c r="B131" s="4" t="s">
        <v>252</v>
      </c>
      <c r="C131" s="4" t="s">
        <v>61</v>
      </c>
      <c r="D131" s="12" t="s">
        <v>81</v>
      </c>
      <c r="E131" s="10" t="s">
        <v>351</v>
      </c>
      <c r="F131" s="32" t="s">
        <v>532</v>
      </c>
      <c r="G131" s="66">
        <f t="shared" si="1"/>
        <v>200000</v>
      </c>
      <c r="H131" s="2">
        <v>200000</v>
      </c>
      <c r="I131" s="2"/>
      <c r="J131" s="51"/>
    </row>
    <row r="132" spans="1:11" ht="30.75" hidden="1" customHeight="1" x14ac:dyDescent="0.3">
      <c r="A132" s="23" t="s">
        <v>253</v>
      </c>
      <c r="B132" s="4" t="s">
        <v>254</v>
      </c>
      <c r="C132" s="4"/>
      <c r="D132" s="16" t="s">
        <v>194</v>
      </c>
      <c r="E132" s="92"/>
      <c r="F132" s="32"/>
      <c r="G132" s="66">
        <f>H132+I132</f>
        <v>0</v>
      </c>
      <c r="H132" s="3"/>
      <c r="I132" s="3"/>
      <c r="J132" s="48"/>
    </row>
    <row r="133" spans="1:11" ht="30" hidden="1" customHeight="1" x14ac:dyDescent="0.3">
      <c r="A133" s="23" t="s">
        <v>192</v>
      </c>
      <c r="B133" s="4" t="s">
        <v>193</v>
      </c>
      <c r="C133" s="4" t="s">
        <v>4</v>
      </c>
      <c r="D133" s="16" t="s">
        <v>194</v>
      </c>
      <c r="E133" s="10"/>
      <c r="F133" s="69"/>
      <c r="G133" s="66">
        <f t="shared" si="1"/>
        <v>0</v>
      </c>
      <c r="H133" s="2"/>
      <c r="I133" s="2"/>
      <c r="J133" s="51"/>
    </row>
    <row r="134" spans="1:11" ht="100.5" customHeight="1" x14ac:dyDescent="0.3">
      <c r="A134" s="25" t="s">
        <v>574</v>
      </c>
      <c r="B134" s="7" t="s">
        <v>575</v>
      </c>
      <c r="C134" s="7" t="s">
        <v>4</v>
      </c>
      <c r="D134" s="145" t="s">
        <v>576</v>
      </c>
      <c r="E134" s="10" t="s">
        <v>577</v>
      </c>
      <c r="F134" s="69" t="s">
        <v>606</v>
      </c>
      <c r="G134" s="66">
        <f t="shared" si="1"/>
        <v>13785022</v>
      </c>
      <c r="H134" s="8">
        <f>3742700+6449629+362699+92500+68244+200000+7200+34100+400000+144950+572600+66500</f>
        <v>12141122</v>
      </c>
      <c r="I134" s="8">
        <f>50000+1500000+93900</f>
        <v>1643900</v>
      </c>
      <c r="J134" s="50">
        <f>I134</f>
        <v>1643900</v>
      </c>
      <c r="K134" s="112"/>
    </row>
    <row r="135" spans="1:11" ht="47.25" customHeight="1" x14ac:dyDescent="0.2">
      <c r="A135" s="25" t="s">
        <v>255</v>
      </c>
      <c r="B135" s="7" t="s">
        <v>256</v>
      </c>
      <c r="C135" s="7" t="s">
        <v>4</v>
      </c>
      <c r="D135" s="14" t="s">
        <v>257</v>
      </c>
      <c r="E135" s="10" t="s">
        <v>494</v>
      </c>
      <c r="F135" s="32" t="s">
        <v>533</v>
      </c>
      <c r="G135" s="66">
        <f t="shared" si="1"/>
        <v>190000</v>
      </c>
      <c r="H135" s="8">
        <f>100000+90000</f>
        <v>190000</v>
      </c>
      <c r="I135" s="8"/>
      <c r="J135" s="50"/>
    </row>
    <row r="136" spans="1:11" ht="45" customHeight="1" x14ac:dyDescent="0.2">
      <c r="A136" s="25" t="s">
        <v>255</v>
      </c>
      <c r="B136" s="7" t="s">
        <v>256</v>
      </c>
      <c r="C136" s="7" t="s">
        <v>4</v>
      </c>
      <c r="D136" s="14" t="s">
        <v>257</v>
      </c>
      <c r="E136" s="10" t="s">
        <v>492</v>
      </c>
      <c r="F136" s="32" t="s">
        <v>604</v>
      </c>
      <c r="G136" s="66">
        <f t="shared" si="1"/>
        <v>206300</v>
      </c>
      <c r="H136" s="2">
        <v>206300</v>
      </c>
      <c r="I136" s="8"/>
      <c r="J136" s="50"/>
    </row>
    <row r="137" spans="1:11" ht="54.75" customHeight="1" x14ac:dyDescent="0.2">
      <c r="A137" s="25" t="s">
        <v>255</v>
      </c>
      <c r="B137" s="7" t="s">
        <v>256</v>
      </c>
      <c r="C137" s="7" t="s">
        <v>4</v>
      </c>
      <c r="D137" s="14" t="s">
        <v>257</v>
      </c>
      <c r="E137" s="10" t="s">
        <v>377</v>
      </c>
      <c r="F137" s="32" t="s">
        <v>534</v>
      </c>
      <c r="G137" s="66">
        <f t="shared" si="1"/>
        <v>400000</v>
      </c>
      <c r="H137" s="8">
        <v>400000</v>
      </c>
      <c r="I137" s="8"/>
      <c r="J137" s="50"/>
    </row>
    <row r="138" spans="1:11" ht="37.5" hidden="1" customHeight="1" x14ac:dyDescent="0.3">
      <c r="A138" s="25" t="s">
        <v>255</v>
      </c>
      <c r="B138" s="7" t="s">
        <v>256</v>
      </c>
      <c r="C138" s="7" t="s">
        <v>4</v>
      </c>
      <c r="D138" s="31" t="s">
        <v>257</v>
      </c>
      <c r="E138" s="10"/>
      <c r="F138" s="69"/>
      <c r="G138" s="66">
        <f t="shared" si="1"/>
        <v>0</v>
      </c>
      <c r="H138" s="8"/>
      <c r="I138" s="8"/>
      <c r="J138" s="50"/>
    </row>
    <row r="139" spans="1:11" ht="37.5" hidden="1" customHeight="1" x14ac:dyDescent="0.3">
      <c r="A139" s="25" t="s">
        <v>192</v>
      </c>
      <c r="B139" s="7" t="s">
        <v>193</v>
      </c>
      <c r="C139" s="7" t="s">
        <v>4</v>
      </c>
      <c r="D139" s="31" t="s">
        <v>257</v>
      </c>
      <c r="E139" s="10" t="s">
        <v>99</v>
      </c>
      <c r="F139" s="69"/>
      <c r="G139" s="66">
        <f t="shared" si="1"/>
        <v>0</v>
      </c>
      <c r="H139" s="8"/>
      <c r="I139" s="8"/>
      <c r="J139" s="50"/>
    </row>
    <row r="140" spans="1:11" ht="37.5" hidden="1" customHeight="1" x14ac:dyDescent="0.3">
      <c r="A140" s="25" t="s">
        <v>255</v>
      </c>
      <c r="B140" s="7" t="s">
        <v>256</v>
      </c>
      <c r="C140" s="7" t="s">
        <v>4</v>
      </c>
      <c r="D140" s="31" t="s">
        <v>257</v>
      </c>
      <c r="E140" s="10" t="s">
        <v>352</v>
      </c>
      <c r="F140" s="69"/>
      <c r="G140" s="66">
        <f t="shared" si="1"/>
        <v>0</v>
      </c>
      <c r="H140" s="8"/>
      <c r="I140" s="8"/>
      <c r="J140" s="50"/>
    </row>
    <row r="141" spans="1:11" ht="0.75" hidden="1" customHeight="1" x14ac:dyDescent="0.3">
      <c r="A141" s="25" t="s">
        <v>255</v>
      </c>
      <c r="B141" s="7" t="s">
        <v>256</v>
      </c>
      <c r="C141" s="7" t="s">
        <v>4</v>
      </c>
      <c r="D141" s="31" t="s">
        <v>257</v>
      </c>
      <c r="E141" s="10"/>
      <c r="F141" s="69"/>
      <c r="G141" s="66">
        <f t="shared" si="1"/>
        <v>0</v>
      </c>
      <c r="H141" s="8"/>
      <c r="I141" s="8"/>
      <c r="J141" s="50"/>
    </row>
    <row r="142" spans="1:11" ht="42" hidden="1" customHeight="1" x14ac:dyDescent="0.3">
      <c r="A142" s="25" t="s">
        <v>255</v>
      </c>
      <c r="B142" s="7" t="s">
        <v>256</v>
      </c>
      <c r="C142" s="7" t="s">
        <v>4</v>
      </c>
      <c r="D142" s="31" t="s">
        <v>257</v>
      </c>
      <c r="E142" s="92" t="s">
        <v>236</v>
      </c>
      <c r="F142" s="32"/>
      <c r="G142" s="66">
        <f t="shared" si="1"/>
        <v>0</v>
      </c>
      <c r="H142" s="8"/>
      <c r="I142" s="8"/>
      <c r="J142" s="50"/>
    </row>
    <row r="143" spans="1:11" ht="37.5" hidden="1" customHeight="1" x14ac:dyDescent="0.3">
      <c r="A143" s="25" t="s">
        <v>255</v>
      </c>
      <c r="B143" s="7" t="s">
        <v>256</v>
      </c>
      <c r="C143" s="7" t="s">
        <v>4</v>
      </c>
      <c r="D143" s="31" t="s">
        <v>257</v>
      </c>
      <c r="E143" s="14" t="s">
        <v>353</v>
      </c>
      <c r="F143" s="68"/>
      <c r="G143" s="66">
        <f t="shared" si="1"/>
        <v>0</v>
      </c>
      <c r="H143" s="8"/>
      <c r="I143" s="8"/>
      <c r="J143" s="50"/>
    </row>
    <row r="144" spans="1:11" ht="18.75" hidden="1" customHeight="1" x14ac:dyDescent="0.3">
      <c r="A144" s="23" t="s">
        <v>275</v>
      </c>
      <c r="B144" s="4" t="s">
        <v>151</v>
      </c>
      <c r="C144" s="4"/>
      <c r="D144" s="16" t="s">
        <v>153</v>
      </c>
      <c r="E144" s="1"/>
      <c r="F144" s="74"/>
      <c r="G144" s="66">
        <f t="shared" si="1"/>
        <v>0</v>
      </c>
      <c r="H144" s="2"/>
      <c r="I144" s="2"/>
      <c r="J144" s="51"/>
    </row>
    <row r="145" spans="1:10" ht="93.75" x14ac:dyDescent="0.2">
      <c r="A145" s="25" t="s">
        <v>276</v>
      </c>
      <c r="B145" s="7" t="s">
        <v>152</v>
      </c>
      <c r="C145" s="7" t="s">
        <v>12</v>
      </c>
      <c r="D145" s="14" t="s">
        <v>277</v>
      </c>
      <c r="E145" s="10" t="s">
        <v>469</v>
      </c>
      <c r="F145" s="32" t="s">
        <v>535</v>
      </c>
      <c r="G145" s="66">
        <f t="shared" si="1"/>
        <v>70000</v>
      </c>
      <c r="H145" s="8">
        <v>70000</v>
      </c>
      <c r="I145" s="8"/>
      <c r="J145" s="50"/>
    </row>
    <row r="146" spans="1:10" ht="56.25" x14ac:dyDescent="0.2">
      <c r="A146" s="53" t="s">
        <v>140</v>
      </c>
      <c r="B146" s="40"/>
      <c r="C146" s="40"/>
      <c r="D146" s="29" t="s">
        <v>133</v>
      </c>
      <c r="E146" s="11"/>
      <c r="F146" s="32"/>
      <c r="G146" s="65">
        <f>H146+I146</f>
        <v>3150000</v>
      </c>
      <c r="H146" s="5">
        <f>H148+H149</f>
        <v>750000</v>
      </c>
      <c r="I146" s="5">
        <f>I147+I148</f>
        <v>2400000</v>
      </c>
      <c r="J146" s="54">
        <f>J147+J148</f>
        <v>2400000</v>
      </c>
    </row>
    <row r="147" spans="1:10" ht="131.25" hidden="1" customHeight="1" x14ac:dyDescent="0.2">
      <c r="A147" s="23" t="s">
        <v>273</v>
      </c>
      <c r="B147" s="4" t="s">
        <v>54</v>
      </c>
      <c r="C147" s="7" t="s">
        <v>39</v>
      </c>
      <c r="D147" s="35" t="s">
        <v>274</v>
      </c>
      <c r="E147" s="11" t="s">
        <v>301</v>
      </c>
      <c r="F147" s="68"/>
      <c r="G147" s="66">
        <f t="shared" si="1"/>
        <v>0</v>
      </c>
      <c r="H147" s="2"/>
      <c r="I147" s="2"/>
      <c r="J147" s="51"/>
    </row>
    <row r="148" spans="1:10" ht="112.5" x14ac:dyDescent="0.3">
      <c r="A148" s="23" t="s">
        <v>580</v>
      </c>
      <c r="B148" s="111" t="s">
        <v>581</v>
      </c>
      <c r="C148" s="4" t="s">
        <v>31</v>
      </c>
      <c r="D148" s="34" t="s">
        <v>582</v>
      </c>
      <c r="E148" s="14" t="s">
        <v>638</v>
      </c>
      <c r="F148" s="68" t="s">
        <v>643</v>
      </c>
      <c r="G148" s="66">
        <f>H148+I148</f>
        <v>3000000</v>
      </c>
      <c r="H148" s="2">
        <f>100000+100000+400000</f>
        <v>600000</v>
      </c>
      <c r="I148" s="2">
        <v>2400000</v>
      </c>
      <c r="J148" s="51">
        <f>I148</f>
        <v>2400000</v>
      </c>
    </row>
    <row r="149" spans="1:10" ht="75" x14ac:dyDescent="0.3">
      <c r="A149" s="25" t="s">
        <v>195</v>
      </c>
      <c r="B149" s="42" t="s">
        <v>134</v>
      </c>
      <c r="C149" s="7" t="s">
        <v>31</v>
      </c>
      <c r="D149" s="31" t="s">
        <v>135</v>
      </c>
      <c r="E149" s="14" t="s">
        <v>559</v>
      </c>
      <c r="F149" s="32" t="s">
        <v>536</v>
      </c>
      <c r="G149" s="66">
        <f t="shared" si="1"/>
        <v>150000</v>
      </c>
      <c r="H149" s="8">
        <v>150000</v>
      </c>
      <c r="I149" s="8"/>
      <c r="J149" s="50"/>
    </row>
    <row r="150" spans="1:10" ht="56.25" x14ac:dyDescent="0.35">
      <c r="A150" s="53" t="s">
        <v>142</v>
      </c>
      <c r="B150" s="36"/>
      <c r="C150" s="36"/>
      <c r="D150" s="29" t="s">
        <v>497</v>
      </c>
      <c r="E150" s="97"/>
      <c r="F150" s="71"/>
      <c r="G150" s="65">
        <f t="shared" si="1"/>
        <v>4660000</v>
      </c>
      <c r="H150" s="5">
        <f>H152+H153+H154+H155+H156</f>
        <v>4660000</v>
      </c>
      <c r="I150" s="5">
        <f>SUM(I151+I155+I156+I157)</f>
        <v>0</v>
      </c>
      <c r="J150" s="54">
        <f>SUM(J151+J155+J156+J157)</f>
        <v>0</v>
      </c>
    </row>
    <row r="151" spans="1:10" ht="41.25" hidden="1" customHeight="1" x14ac:dyDescent="0.2">
      <c r="A151" s="23" t="s">
        <v>223</v>
      </c>
      <c r="B151" s="4" t="s">
        <v>222</v>
      </c>
      <c r="C151" s="4"/>
      <c r="D151" s="12" t="s">
        <v>224</v>
      </c>
      <c r="E151" s="10"/>
      <c r="F151" s="69"/>
      <c r="G151" s="66">
        <f t="shared" si="1"/>
        <v>4040000</v>
      </c>
      <c r="H151" s="2">
        <f>H154+H155+H156+H157</f>
        <v>4040000</v>
      </c>
      <c r="I151" s="2"/>
      <c r="J151" s="51"/>
    </row>
    <row r="152" spans="1:10" ht="42" customHeight="1" x14ac:dyDescent="0.2">
      <c r="A152" s="25" t="s">
        <v>558</v>
      </c>
      <c r="B152" s="7" t="s">
        <v>165</v>
      </c>
      <c r="C152" s="7" t="s">
        <v>31</v>
      </c>
      <c r="D152" s="14" t="s">
        <v>106</v>
      </c>
      <c r="E152" s="10" t="s">
        <v>357</v>
      </c>
      <c r="F152" s="32" t="s">
        <v>540</v>
      </c>
      <c r="G152" s="66">
        <f>H152+I152</f>
        <v>70000</v>
      </c>
      <c r="H152" s="27">
        <f>100000-30000</f>
        <v>70000</v>
      </c>
      <c r="I152" s="27"/>
      <c r="J152" s="49"/>
    </row>
    <row r="153" spans="1:10" ht="42" customHeight="1" x14ac:dyDescent="0.2">
      <c r="A153" s="25" t="s">
        <v>558</v>
      </c>
      <c r="B153" s="7" t="s">
        <v>165</v>
      </c>
      <c r="C153" s="7" t="s">
        <v>31</v>
      </c>
      <c r="D153" s="14" t="s">
        <v>106</v>
      </c>
      <c r="E153" s="10" t="s">
        <v>459</v>
      </c>
      <c r="F153" s="32" t="s">
        <v>541</v>
      </c>
      <c r="G153" s="66">
        <f>H153+I153</f>
        <v>550000</v>
      </c>
      <c r="H153" s="8">
        <v>550000</v>
      </c>
      <c r="I153" s="27"/>
      <c r="J153" s="49"/>
    </row>
    <row r="154" spans="1:10" ht="41.25" customHeight="1" x14ac:dyDescent="0.2">
      <c r="A154" s="25" t="s">
        <v>258</v>
      </c>
      <c r="B154" s="7" t="s">
        <v>259</v>
      </c>
      <c r="C154" s="7" t="s">
        <v>38</v>
      </c>
      <c r="D154" s="13" t="s">
        <v>260</v>
      </c>
      <c r="E154" s="10" t="s">
        <v>354</v>
      </c>
      <c r="F154" s="32" t="s">
        <v>537</v>
      </c>
      <c r="G154" s="66">
        <f t="shared" si="1"/>
        <v>3768024</v>
      </c>
      <c r="H154" s="8">
        <f>2740000+208000+230000+300000+200000+90000+24</f>
        <v>3768024</v>
      </c>
      <c r="I154" s="8"/>
      <c r="J154" s="50"/>
    </row>
    <row r="155" spans="1:10" ht="55.9" customHeight="1" x14ac:dyDescent="0.2">
      <c r="A155" s="25" t="s">
        <v>258</v>
      </c>
      <c r="B155" s="7" t="s">
        <v>259</v>
      </c>
      <c r="C155" s="7" t="s">
        <v>38</v>
      </c>
      <c r="D155" s="13" t="s">
        <v>260</v>
      </c>
      <c r="E155" s="92" t="s">
        <v>455</v>
      </c>
      <c r="F155" s="32" t="s">
        <v>538</v>
      </c>
      <c r="G155" s="66">
        <f t="shared" si="1"/>
        <v>167000</v>
      </c>
      <c r="H155" s="8">
        <f>250000-83000</f>
        <v>167000</v>
      </c>
      <c r="I155" s="8"/>
      <c r="J155" s="50"/>
    </row>
    <row r="156" spans="1:10" ht="40.5" customHeight="1" x14ac:dyDescent="0.2">
      <c r="A156" s="25" t="s">
        <v>258</v>
      </c>
      <c r="B156" s="7" t="s">
        <v>259</v>
      </c>
      <c r="C156" s="7" t="s">
        <v>38</v>
      </c>
      <c r="D156" s="13" t="s">
        <v>260</v>
      </c>
      <c r="E156" s="92" t="s">
        <v>355</v>
      </c>
      <c r="F156" s="32" t="s">
        <v>539</v>
      </c>
      <c r="G156" s="66">
        <f t="shared" si="1"/>
        <v>104976</v>
      </c>
      <c r="H156" s="8">
        <f>200000-95024</f>
        <v>104976</v>
      </c>
      <c r="I156" s="8"/>
      <c r="J156" s="50"/>
    </row>
    <row r="157" spans="1:10" ht="56.25" hidden="1" customHeight="1" x14ac:dyDescent="0.2">
      <c r="A157" s="25" t="s">
        <v>258</v>
      </c>
      <c r="B157" s="7" t="s">
        <v>259</v>
      </c>
      <c r="C157" s="7" t="s">
        <v>38</v>
      </c>
      <c r="D157" s="13" t="s">
        <v>260</v>
      </c>
      <c r="E157" s="92" t="s">
        <v>359</v>
      </c>
      <c r="F157" s="32"/>
      <c r="G157" s="66">
        <f t="shared" si="1"/>
        <v>0</v>
      </c>
      <c r="H157" s="8"/>
      <c r="I157" s="8"/>
      <c r="J157" s="50"/>
    </row>
    <row r="158" spans="1:10" ht="60.75" customHeight="1" x14ac:dyDescent="0.35">
      <c r="A158" s="53" t="s">
        <v>75</v>
      </c>
      <c r="B158" s="36"/>
      <c r="C158" s="36"/>
      <c r="D158" s="29" t="s">
        <v>498</v>
      </c>
      <c r="E158" s="97"/>
      <c r="F158" s="71"/>
      <c r="G158" s="65">
        <f t="shared" si="1"/>
        <v>9377700</v>
      </c>
      <c r="H158" s="5">
        <f>H162+H163+H165+H168</f>
        <v>9189900</v>
      </c>
      <c r="I158" s="5">
        <f>I159+I161+I164+I168</f>
        <v>187800</v>
      </c>
      <c r="J158" s="54">
        <f>I158</f>
        <v>187800</v>
      </c>
    </row>
    <row r="159" spans="1:10" ht="37.5" hidden="1" customHeight="1" x14ac:dyDescent="0.2">
      <c r="A159" s="23" t="s">
        <v>163</v>
      </c>
      <c r="B159" s="4" t="s">
        <v>113</v>
      </c>
      <c r="C159" s="4"/>
      <c r="D159" s="1" t="s">
        <v>105</v>
      </c>
      <c r="E159" s="10"/>
      <c r="F159" s="69"/>
      <c r="G159" s="66">
        <f t="shared" si="1"/>
        <v>620000</v>
      </c>
      <c r="H159" s="3">
        <f>H160+H152+H153</f>
        <v>620000</v>
      </c>
      <c r="I159" s="3">
        <f>I160+I152+I153</f>
        <v>0</v>
      </c>
      <c r="J159" s="48">
        <f>J160+J152+J153</f>
        <v>0</v>
      </c>
    </row>
    <row r="160" spans="1:10" ht="62.25" hidden="1" customHeight="1" x14ac:dyDescent="0.2">
      <c r="A160" s="25" t="s">
        <v>164</v>
      </c>
      <c r="B160" s="7" t="s">
        <v>165</v>
      </c>
      <c r="C160" s="7" t="s">
        <v>31</v>
      </c>
      <c r="D160" s="14" t="s">
        <v>106</v>
      </c>
      <c r="E160" s="10" t="s">
        <v>356</v>
      </c>
      <c r="F160" s="32"/>
      <c r="G160" s="66">
        <f t="shared" si="1"/>
        <v>0</v>
      </c>
      <c r="H160" s="27"/>
      <c r="I160" s="27"/>
      <c r="J160" s="49"/>
    </row>
    <row r="161" spans="1:10" ht="37.5" hidden="1" customHeight="1" x14ac:dyDescent="0.2">
      <c r="A161" s="23">
        <v>1115010</v>
      </c>
      <c r="B161" s="4" t="s">
        <v>110</v>
      </c>
      <c r="C161" s="4"/>
      <c r="D161" s="12" t="s">
        <v>111</v>
      </c>
      <c r="E161" s="167" t="s">
        <v>378</v>
      </c>
      <c r="F161" s="32"/>
      <c r="G161" s="66">
        <f t="shared" ref="G161:G227" si="2">H161+I161</f>
        <v>0</v>
      </c>
      <c r="H161" s="2"/>
      <c r="I161" s="2">
        <f>SUM(I162:I163)</f>
        <v>0</v>
      </c>
      <c r="J161" s="51">
        <f>SUM(J162:J163)</f>
        <v>0</v>
      </c>
    </row>
    <row r="162" spans="1:10" ht="56.25" x14ac:dyDescent="0.2">
      <c r="A162" s="25">
        <v>1115011</v>
      </c>
      <c r="B162" s="7" t="s">
        <v>90</v>
      </c>
      <c r="C162" s="7" t="s">
        <v>44</v>
      </c>
      <c r="D162" s="14" t="s">
        <v>79</v>
      </c>
      <c r="E162" s="168"/>
      <c r="F162" s="170" t="s">
        <v>542</v>
      </c>
      <c r="G162" s="66">
        <f t="shared" si="2"/>
        <v>1130000</v>
      </c>
      <c r="H162" s="8">
        <v>1130000</v>
      </c>
      <c r="I162" s="27"/>
      <c r="J162" s="49"/>
    </row>
    <row r="163" spans="1:10" ht="56.25" customHeight="1" x14ac:dyDescent="0.2">
      <c r="A163" s="25">
        <v>1115012</v>
      </c>
      <c r="B163" s="7" t="s">
        <v>103</v>
      </c>
      <c r="C163" s="7" t="s">
        <v>44</v>
      </c>
      <c r="D163" s="14" t="s">
        <v>104</v>
      </c>
      <c r="E163" s="168"/>
      <c r="F163" s="171"/>
      <c r="G163" s="66">
        <f t="shared" si="2"/>
        <v>760000</v>
      </c>
      <c r="H163" s="8">
        <v>760000</v>
      </c>
      <c r="I163" s="27"/>
      <c r="J163" s="49"/>
    </row>
    <row r="164" spans="1:10" ht="56.25" hidden="1" customHeight="1" x14ac:dyDescent="0.2">
      <c r="A164" s="23" t="s">
        <v>166</v>
      </c>
      <c r="B164" s="4" t="s">
        <v>167</v>
      </c>
      <c r="C164" s="4"/>
      <c r="D164" s="1" t="s">
        <v>264</v>
      </c>
      <c r="E164" s="168"/>
      <c r="F164" s="171"/>
      <c r="G164" s="66">
        <f t="shared" si="2"/>
        <v>0</v>
      </c>
      <c r="H164" s="2"/>
      <c r="I164" s="2">
        <f>I165</f>
        <v>0</v>
      </c>
      <c r="J164" s="51">
        <f>J165</f>
        <v>0</v>
      </c>
    </row>
    <row r="165" spans="1:10" ht="65.25" customHeight="1" x14ac:dyDescent="0.2">
      <c r="A165" s="25" t="s">
        <v>168</v>
      </c>
      <c r="B165" s="7" t="s">
        <v>169</v>
      </c>
      <c r="C165" s="7" t="s">
        <v>44</v>
      </c>
      <c r="D165" s="14" t="s">
        <v>265</v>
      </c>
      <c r="E165" s="168"/>
      <c r="F165" s="172"/>
      <c r="G165" s="66">
        <f t="shared" si="2"/>
        <v>10000</v>
      </c>
      <c r="H165" s="8">
        <v>10000</v>
      </c>
      <c r="I165" s="27"/>
      <c r="J165" s="49"/>
    </row>
    <row r="166" spans="1:10" ht="56.25" hidden="1" customHeight="1" x14ac:dyDescent="0.2">
      <c r="A166" s="23" t="s">
        <v>295</v>
      </c>
      <c r="B166" s="4" t="s">
        <v>298</v>
      </c>
      <c r="C166" s="1"/>
      <c r="D166" s="1" t="s">
        <v>299</v>
      </c>
      <c r="E166" s="168"/>
      <c r="F166" s="32"/>
      <c r="G166" s="66">
        <f t="shared" si="2"/>
        <v>0</v>
      </c>
      <c r="H166" s="2"/>
      <c r="I166" s="3"/>
      <c r="J166" s="48"/>
    </row>
    <row r="167" spans="1:10" ht="86.25" hidden="1" customHeight="1" x14ac:dyDescent="0.2">
      <c r="A167" s="25" t="s">
        <v>296</v>
      </c>
      <c r="B167" s="7" t="s">
        <v>297</v>
      </c>
      <c r="C167" s="41" t="s">
        <v>44</v>
      </c>
      <c r="D167" s="14" t="s">
        <v>300</v>
      </c>
      <c r="E167" s="169"/>
      <c r="F167" s="32"/>
      <c r="G167" s="66">
        <f t="shared" si="2"/>
        <v>0</v>
      </c>
      <c r="H167" s="8"/>
      <c r="I167" s="27"/>
      <c r="J167" s="49"/>
    </row>
    <row r="168" spans="1:10" ht="56.25" x14ac:dyDescent="0.2">
      <c r="A168" s="25" t="s">
        <v>477</v>
      </c>
      <c r="B168" s="7" t="s">
        <v>478</v>
      </c>
      <c r="C168" s="7" t="s">
        <v>44</v>
      </c>
      <c r="D168" s="14" t="s">
        <v>479</v>
      </c>
      <c r="E168" s="116" t="s">
        <v>483</v>
      </c>
      <c r="F168" s="117" t="s">
        <v>543</v>
      </c>
      <c r="G168" s="66">
        <f t="shared" si="2"/>
        <v>7477700</v>
      </c>
      <c r="H168" s="8">
        <f>4000000+2027700+962200+300000</f>
        <v>7289900</v>
      </c>
      <c r="I168" s="27">
        <f>150000+37800</f>
        <v>187800</v>
      </c>
      <c r="J168" s="49">
        <f>I168</f>
        <v>187800</v>
      </c>
    </row>
    <row r="169" spans="1:10" ht="61.5" hidden="1" customHeight="1" x14ac:dyDescent="0.35">
      <c r="A169" s="53" t="s">
        <v>196</v>
      </c>
      <c r="B169" s="36"/>
      <c r="C169" s="36"/>
      <c r="D169" s="29" t="s">
        <v>32</v>
      </c>
      <c r="E169" s="97"/>
      <c r="F169" s="71"/>
      <c r="G169" s="65"/>
      <c r="H169" s="132"/>
      <c r="I169" s="132"/>
      <c r="J169" s="133"/>
    </row>
    <row r="170" spans="1:10" ht="56.25" hidden="1" customHeight="1" x14ac:dyDescent="0.2">
      <c r="A170" s="23" t="s">
        <v>197</v>
      </c>
      <c r="B170" s="4" t="s">
        <v>92</v>
      </c>
      <c r="C170" s="4"/>
      <c r="D170" s="15" t="s">
        <v>198</v>
      </c>
      <c r="E170" s="10"/>
      <c r="F170" s="69"/>
      <c r="G170" s="66" t="e">
        <f t="shared" si="2"/>
        <v>#REF!</v>
      </c>
      <c r="H170" s="2" t="e">
        <f>H173+#REF!+H175+H176+H207+#REF!</f>
        <v>#REF!</v>
      </c>
      <c r="I170" s="2" t="e">
        <f>I173+#REF!+I175+I176+I207</f>
        <v>#REF!</v>
      </c>
      <c r="J170" s="51"/>
    </row>
    <row r="171" spans="1:10" ht="75" hidden="1" customHeight="1" x14ac:dyDescent="0.2">
      <c r="A171" s="23" t="s">
        <v>83</v>
      </c>
      <c r="B171" s="4" t="s">
        <v>92</v>
      </c>
      <c r="C171" s="4"/>
      <c r="D171" s="15" t="s">
        <v>82</v>
      </c>
      <c r="E171" s="10"/>
      <c r="F171" s="69"/>
      <c r="G171" s="66">
        <f t="shared" si="2"/>
        <v>0</v>
      </c>
      <c r="H171" s="2"/>
      <c r="I171" s="2"/>
      <c r="J171" s="51"/>
    </row>
    <row r="172" spans="1:10" ht="37.5" hidden="1" x14ac:dyDescent="0.3">
      <c r="A172" s="23" t="s">
        <v>114</v>
      </c>
      <c r="B172" s="4" t="s">
        <v>115</v>
      </c>
      <c r="C172" s="4"/>
      <c r="D172" s="128" t="s">
        <v>116</v>
      </c>
      <c r="E172" s="10"/>
      <c r="F172" s="69"/>
      <c r="G172" s="66">
        <f t="shared" si="2"/>
        <v>585036913</v>
      </c>
      <c r="H172" s="2">
        <f>SUM(H173:H207)</f>
        <v>182328401</v>
      </c>
      <c r="I172" s="2">
        <f>SUM(I173:I207)</f>
        <v>402708512</v>
      </c>
      <c r="J172" s="51"/>
    </row>
    <row r="173" spans="1:10" ht="37.5" hidden="1" x14ac:dyDescent="0.2">
      <c r="A173" s="25" t="s">
        <v>205</v>
      </c>
      <c r="B173" s="7" t="s">
        <v>200</v>
      </c>
      <c r="C173" s="7" t="s">
        <v>33</v>
      </c>
      <c r="D173" s="9" t="s">
        <v>199</v>
      </c>
      <c r="E173" s="10" t="s">
        <v>366</v>
      </c>
      <c r="F173" s="32"/>
      <c r="G173" s="66">
        <f t="shared" si="2"/>
        <v>0</v>
      </c>
      <c r="H173" s="2"/>
      <c r="I173" s="3"/>
      <c r="J173" s="48">
        <f>I173</f>
        <v>0</v>
      </c>
    </row>
    <row r="174" spans="1:10" ht="56.25" hidden="1" x14ac:dyDescent="0.2">
      <c r="A174" s="25" t="s">
        <v>436</v>
      </c>
      <c r="B174" s="7" t="s">
        <v>437</v>
      </c>
      <c r="C174" s="7" t="s">
        <v>33</v>
      </c>
      <c r="D174" s="9" t="s">
        <v>438</v>
      </c>
      <c r="E174" s="10" t="s">
        <v>439</v>
      </c>
      <c r="F174" s="32"/>
      <c r="G174" s="66">
        <f t="shared" si="2"/>
        <v>0</v>
      </c>
      <c r="H174" s="2"/>
      <c r="I174" s="3"/>
      <c r="J174" s="48">
        <f>I174</f>
        <v>0</v>
      </c>
    </row>
    <row r="175" spans="1:10" ht="37.5" hidden="1" x14ac:dyDescent="0.2">
      <c r="A175" s="25" t="s">
        <v>206</v>
      </c>
      <c r="B175" s="7" t="s">
        <v>201</v>
      </c>
      <c r="C175" s="7" t="s">
        <v>33</v>
      </c>
      <c r="D175" s="9" t="s">
        <v>203</v>
      </c>
      <c r="E175" s="10" t="s">
        <v>367</v>
      </c>
      <c r="F175" s="32"/>
      <c r="G175" s="66">
        <f t="shared" si="2"/>
        <v>0</v>
      </c>
      <c r="H175" s="2"/>
      <c r="I175" s="3"/>
      <c r="J175" s="48"/>
    </row>
    <row r="176" spans="1:10" ht="56.25" hidden="1" x14ac:dyDescent="0.2">
      <c r="A176" s="25" t="s">
        <v>207</v>
      </c>
      <c r="B176" s="7" t="s">
        <v>202</v>
      </c>
      <c r="C176" s="7" t="s">
        <v>33</v>
      </c>
      <c r="D176" s="9" t="s">
        <v>204</v>
      </c>
      <c r="E176" s="10" t="s">
        <v>237</v>
      </c>
      <c r="F176" s="69"/>
      <c r="G176" s="66">
        <f t="shared" si="2"/>
        <v>0</v>
      </c>
      <c r="H176" s="2"/>
      <c r="I176" s="3"/>
      <c r="J176" s="48"/>
    </row>
    <row r="177" spans="1:11" ht="36.75" hidden="1" customHeight="1" x14ac:dyDescent="0.2">
      <c r="A177" s="23" t="s">
        <v>311</v>
      </c>
      <c r="B177" s="4" t="s">
        <v>93</v>
      </c>
      <c r="C177" s="4" t="s">
        <v>33</v>
      </c>
      <c r="D177" s="15" t="s">
        <v>34</v>
      </c>
      <c r="E177" s="92"/>
      <c r="F177" s="32"/>
      <c r="G177" s="66">
        <f t="shared" si="2"/>
        <v>0</v>
      </c>
      <c r="H177" s="5"/>
      <c r="I177" s="3"/>
      <c r="J177" s="54"/>
    </row>
    <row r="178" spans="1:11" ht="63" hidden="1" customHeight="1" x14ac:dyDescent="0.2">
      <c r="A178" s="23" t="s">
        <v>429</v>
      </c>
      <c r="B178" s="4" t="s">
        <v>115</v>
      </c>
      <c r="C178" s="4" t="s">
        <v>33</v>
      </c>
      <c r="D178" s="99" t="s">
        <v>430</v>
      </c>
      <c r="E178" s="92" t="s">
        <v>434</v>
      </c>
      <c r="F178" s="32"/>
      <c r="G178" s="66">
        <f>H178+I178</f>
        <v>0</v>
      </c>
      <c r="H178" s="2"/>
      <c r="I178" s="3"/>
      <c r="J178" s="51"/>
    </row>
    <row r="179" spans="1:11" ht="37.5" hidden="1" x14ac:dyDescent="0.2">
      <c r="A179" s="23" t="s">
        <v>210</v>
      </c>
      <c r="B179" s="4" t="s">
        <v>208</v>
      </c>
      <c r="C179" s="4" t="s">
        <v>33</v>
      </c>
      <c r="D179" s="15" t="s">
        <v>209</v>
      </c>
      <c r="E179" s="92" t="s">
        <v>361</v>
      </c>
      <c r="F179" s="32" t="s">
        <v>547</v>
      </c>
      <c r="G179" s="66">
        <f t="shared" si="2"/>
        <v>0</v>
      </c>
      <c r="H179" s="134"/>
      <c r="I179" s="6"/>
      <c r="J179" s="55"/>
    </row>
    <row r="180" spans="1:11" ht="56.25" hidden="1" x14ac:dyDescent="0.2">
      <c r="A180" s="23" t="s">
        <v>210</v>
      </c>
      <c r="B180" s="4" t="s">
        <v>208</v>
      </c>
      <c r="C180" s="4" t="s">
        <v>33</v>
      </c>
      <c r="D180" s="15" t="s">
        <v>209</v>
      </c>
      <c r="E180" s="92" t="s">
        <v>362</v>
      </c>
      <c r="F180" s="32" t="s">
        <v>548</v>
      </c>
      <c r="G180" s="66">
        <f t="shared" si="2"/>
        <v>0</v>
      </c>
      <c r="H180" s="134"/>
      <c r="I180" s="6"/>
      <c r="J180" s="55"/>
    </row>
    <row r="181" spans="1:11" ht="56.25" hidden="1" x14ac:dyDescent="0.3">
      <c r="A181" s="23" t="s">
        <v>420</v>
      </c>
      <c r="B181" s="4" t="s">
        <v>421</v>
      </c>
      <c r="C181" s="17" t="s">
        <v>33</v>
      </c>
      <c r="D181" s="16" t="s">
        <v>422</v>
      </c>
      <c r="E181" s="92" t="s">
        <v>423</v>
      </c>
      <c r="F181" s="32" t="s">
        <v>550</v>
      </c>
      <c r="G181" s="66">
        <f t="shared" si="2"/>
        <v>0</v>
      </c>
      <c r="H181" s="134"/>
      <c r="I181" s="6"/>
      <c r="J181" s="55">
        <f>I181</f>
        <v>0</v>
      </c>
    </row>
    <row r="182" spans="1:11" ht="37.5" hidden="1" x14ac:dyDescent="0.3">
      <c r="A182" s="23" t="s">
        <v>267</v>
      </c>
      <c r="B182" s="17" t="s">
        <v>268</v>
      </c>
      <c r="C182" s="17" t="s">
        <v>269</v>
      </c>
      <c r="D182" s="16" t="s">
        <v>270</v>
      </c>
      <c r="E182" s="92" t="s">
        <v>369</v>
      </c>
      <c r="F182" s="32" t="s">
        <v>551</v>
      </c>
      <c r="G182" s="66">
        <f t="shared" si="2"/>
        <v>0</v>
      </c>
      <c r="H182" s="6"/>
      <c r="I182" s="6"/>
      <c r="J182" s="55"/>
    </row>
    <row r="183" spans="1:11" ht="56.25" hidden="1" x14ac:dyDescent="0.2">
      <c r="A183" s="23" t="s">
        <v>460</v>
      </c>
      <c r="B183" s="4" t="s">
        <v>95</v>
      </c>
      <c r="C183" s="4" t="s">
        <v>233</v>
      </c>
      <c r="D183" s="1" t="s">
        <v>234</v>
      </c>
      <c r="E183" s="92" t="s">
        <v>461</v>
      </c>
      <c r="F183" s="32" t="s">
        <v>550</v>
      </c>
      <c r="G183" s="66">
        <f t="shared" si="2"/>
        <v>0</v>
      </c>
      <c r="H183" s="6"/>
      <c r="I183" s="6"/>
      <c r="J183" s="55">
        <f>I183</f>
        <v>0</v>
      </c>
    </row>
    <row r="184" spans="1:11" ht="56.25" hidden="1" customHeight="1" x14ac:dyDescent="0.2">
      <c r="A184" s="23" t="s">
        <v>211</v>
      </c>
      <c r="B184" s="111" t="s">
        <v>212</v>
      </c>
      <c r="C184" s="4"/>
      <c r="D184" s="15" t="s">
        <v>214</v>
      </c>
      <c r="E184" s="92"/>
      <c r="F184" s="32" t="s">
        <v>551</v>
      </c>
      <c r="G184" s="66">
        <f>G228</f>
        <v>93937977</v>
      </c>
      <c r="H184" s="66"/>
      <c r="I184" s="66"/>
      <c r="J184" s="114"/>
    </row>
    <row r="185" spans="1:11" ht="75" hidden="1" x14ac:dyDescent="0.3">
      <c r="A185" s="23" t="s">
        <v>272</v>
      </c>
      <c r="B185" s="111" t="s">
        <v>271</v>
      </c>
      <c r="C185" s="111" t="s">
        <v>12</v>
      </c>
      <c r="D185" s="12" t="s">
        <v>77</v>
      </c>
      <c r="E185" s="19" t="s">
        <v>391</v>
      </c>
      <c r="F185" s="75"/>
      <c r="G185" s="66">
        <f t="shared" si="2"/>
        <v>0</v>
      </c>
      <c r="H185" s="2"/>
      <c r="I185" s="2"/>
      <c r="J185" s="51"/>
    </row>
    <row r="186" spans="1:11" ht="18.75" hidden="1" x14ac:dyDescent="0.3">
      <c r="A186" s="23" t="s">
        <v>85</v>
      </c>
      <c r="B186" s="4" t="s">
        <v>88</v>
      </c>
      <c r="C186" s="4" t="s">
        <v>18</v>
      </c>
      <c r="D186" s="16" t="s">
        <v>19</v>
      </c>
      <c r="E186" s="19"/>
      <c r="F186" s="75"/>
      <c r="G186" s="66">
        <f t="shared" si="2"/>
        <v>0</v>
      </c>
      <c r="H186" s="2"/>
      <c r="I186" s="2"/>
      <c r="J186" s="51"/>
    </row>
    <row r="187" spans="1:11" ht="18.75" hidden="1" x14ac:dyDescent="0.3">
      <c r="A187" s="23" t="s">
        <v>85</v>
      </c>
      <c r="B187" s="4" t="s">
        <v>88</v>
      </c>
      <c r="C187" s="4" t="s">
        <v>18</v>
      </c>
      <c r="D187" s="16" t="s">
        <v>19</v>
      </c>
      <c r="E187" s="19"/>
      <c r="F187" s="75"/>
      <c r="G187" s="66">
        <f t="shared" si="2"/>
        <v>0</v>
      </c>
      <c r="H187" s="2"/>
      <c r="I187" s="2"/>
      <c r="J187" s="51"/>
    </row>
    <row r="188" spans="1:11" ht="18.75" hidden="1" x14ac:dyDescent="0.3">
      <c r="A188" s="23" t="s">
        <v>85</v>
      </c>
      <c r="B188" s="4" t="s">
        <v>88</v>
      </c>
      <c r="C188" s="4" t="s">
        <v>18</v>
      </c>
      <c r="D188" s="16" t="s">
        <v>19</v>
      </c>
      <c r="E188" s="19"/>
      <c r="F188" s="75"/>
      <c r="G188" s="66">
        <f t="shared" si="2"/>
        <v>0</v>
      </c>
      <c r="H188" s="2"/>
      <c r="I188" s="2"/>
      <c r="J188" s="51"/>
    </row>
    <row r="189" spans="1:11" ht="18.75" hidden="1" x14ac:dyDescent="0.3">
      <c r="A189" s="23" t="s">
        <v>85</v>
      </c>
      <c r="B189" s="4" t="s">
        <v>88</v>
      </c>
      <c r="C189" s="4" t="s">
        <v>18</v>
      </c>
      <c r="D189" s="16" t="s">
        <v>19</v>
      </c>
      <c r="E189" s="19"/>
      <c r="F189" s="75"/>
      <c r="G189" s="66">
        <f t="shared" si="2"/>
        <v>0</v>
      </c>
      <c r="H189" s="2"/>
      <c r="I189" s="2"/>
      <c r="J189" s="51"/>
    </row>
    <row r="190" spans="1:11" ht="37.5" hidden="1" x14ac:dyDescent="0.2">
      <c r="A190" s="23" t="s">
        <v>132</v>
      </c>
      <c r="B190" s="4" t="s">
        <v>108</v>
      </c>
      <c r="C190" s="4"/>
      <c r="D190" s="130" t="s">
        <v>109</v>
      </c>
      <c r="E190" s="92"/>
      <c r="F190" s="32"/>
      <c r="G190" s="66">
        <f t="shared" si="2"/>
        <v>0</v>
      </c>
      <c r="H190" s="3"/>
      <c r="I190" s="3"/>
      <c r="J190" s="48"/>
    </row>
    <row r="191" spans="1:11" ht="93.75" hidden="1" x14ac:dyDescent="0.3">
      <c r="A191" s="23" t="s">
        <v>424</v>
      </c>
      <c r="B191" s="4" t="s">
        <v>152</v>
      </c>
      <c r="C191" s="17" t="s">
        <v>12</v>
      </c>
      <c r="D191" s="16" t="s">
        <v>154</v>
      </c>
      <c r="E191" s="10" t="s">
        <v>425</v>
      </c>
      <c r="F191" s="100"/>
      <c r="G191" s="66">
        <f t="shared" si="2"/>
        <v>0</v>
      </c>
      <c r="H191" s="3"/>
      <c r="I191" s="3"/>
      <c r="J191" s="48"/>
    </row>
    <row r="192" spans="1:11" ht="102" customHeight="1" x14ac:dyDescent="0.2">
      <c r="A192" s="53" t="s">
        <v>225</v>
      </c>
      <c r="B192" s="45"/>
      <c r="C192" s="45"/>
      <c r="D192" s="29" t="s">
        <v>584</v>
      </c>
      <c r="E192" s="9"/>
      <c r="F192" s="69"/>
      <c r="G192" s="65">
        <f>G194+G198+G201+G203+G207+G208+G209+G210+G211+G212+G214+G215+G217+G219+G221+G222+G223+G224+G226+G228+G230+G234+G235+G236+G238+G213+G240+G206+G199+G216+G204+G196+G225+G237+G218+G197+G229+G193+G205+G239</f>
        <v>550220505</v>
      </c>
      <c r="H192" s="65">
        <f>H194+H198+H201+H203+H207+H208+H209+H210+H211+H212+H214+H215+H217+H219+H221+H222+H223+H224+H226+H228+H230+H234+H235+H236+H238+H213+H240+H206+H199+H216+H204+H196+H225+H237+H229+H205</f>
        <v>180018401</v>
      </c>
      <c r="I192" s="65">
        <f>I194+I198+I201+I203+I207+I208+I209+I210+I211+I212+I214+I215+I217+I219+I221+I222+I223+I224+I226+I228+I230+I234+I235+I236+I238+I213+I240+I206+I199+I216+I204+I196+I225+I237+I218+I197+I193+I239</f>
        <v>370202104</v>
      </c>
      <c r="J192" s="65">
        <f>J194+J198+J201+J203+J207+J208+J209+J210+J211+J212+J214+J215+J217+J219+J221+J222+J223+J224+J226+J228+J230+J234+J235+J236+J238+J213+J240+J206+J199+J216+J204+J196+J225+J237+J218+J197+J193</f>
        <v>270232516</v>
      </c>
      <c r="K192" s="112"/>
    </row>
    <row r="193" spans="1:10" ht="25.15" customHeight="1" x14ac:dyDescent="0.3">
      <c r="A193" s="23" t="s">
        <v>393</v>
      </c>
      <c r="B193" s="17" t="s">
        <v>394</v>
      </c>
      <c r="C193" s="17" t="s">
        <v>39</v>
      </c>
      <c r="D193" s="1" t="s">
        <v>395</v>
      </c>
      <c r="E193" s="19" t="s">
        <v>372</v>
      </c>
      <c r="F193" s="32" t="s">
        <v>553</v>
      </c>
      <c r="G193" s="66">
        <f t="shared" si="2"/>
        <v>4900000</v>
      </c>
      <c r="H193" s="2"/>
      <c r="I193" s="2">
        <v>4900000</v>
      </c>
      <c r="J193" s="51">
        <f t="shared" ref="J193:J199" si="3">I193</f>
        <v>4900000</v>
      </c>
    </row>
    <row r="194" spans="1:10" ht="56.25" x14ac:dyDescent="0.3">
      <c r="A194" s="23" t="s">
        <v>563</v>
      </c>
      <c r="B194" s="111" t="s">
        <v>564</v>
      </c>
      <c r="C194" s="111" t="s">
        <v>40</v>
      </c>
      <c r="D194" s="12" t="s">
        <v>565</v>
      </c>
      <c r="E194" s="19" t="s">
        <v>372</v>
      </c>
      <c r="F194" s="32" t="s">
        <v>553</v>
      </c>
      <c r="G194" s="66">
        <f t="shared" si="2"/>
        <v>6097264</v>
      </c>
      <c r="H194" s="2"/>
      <c r="I194" s="2">
        <f>409800+10442+65000-19116-369800+6000000+938</f>
        <v>6097264</v>
      </c>
      <c r="J194" s="51">
        <f t="shared" si="3"/>
        <v>6097264</v>
      </c>
    </row>
    <row r="195" spans="1:10" ht="75" hidden="1" x14ac:dyDescent="0.3">
      <c r="A195" s="23" t="s">
        <v>396</v>
      </c>
      <c r="B195" s="111" t="s">
        <v>4</v>
      </c>
      <c r="C195" s="111" t="s">
        <v>41</v>
      </c>
      <c r="D195" s="12" t="s">
        <v>397</v>
      </c>
      <c r="E195" s="19" t="s">
        <v>372</v>
      </c>
      <c r="F195" s="32" t="s">
        <v>553</v>
      </c>
      <c r="G195" s="66">
        <f t="shared" si="2"/>
        <v>0</v>
      </c>
      <c r="H195" s="2"/>
      <c r="I195" s="2"/>
      <c r="J195" s="51">
        <f t="shared" si="3"/>
        <v>0</v>
      </c>
    </row>
    <row r="196" spans="1:10" ht="115.15" customHeight="1" x14ac:dyDescent="0.3">
      <c r="A196" s="23" t="s">
        <v>611</v>
      </c>
      <c r="B196" s="111" t="s">
        <v>612</v>
      </c>
      <c r="C196" s="111" t="s">
        <v>42</v>
      </c>
      <c r="D196" s="12" t="s">
        <v>613</v>
      </c>
      <c r="E196" s="19" t="s">
        <v>372</v>
      </c>
      <c r="F196" s="32" t="s">
        <v>553</v>
      </c>
      <c r="G196" s="66">
        <f t="shared" si="2"/>
        <v>4646460</v>
      </c>
      <c r="H196" s="2"/>
      <c r="I196" s="2">
        <f>3598681+687779+360000</f>
        <v>4646460</v>
      </c>
      <c r="J196" s="51">
        <f t="shared" si="3"/>
        <v>4646460</v>
      </c>
    </row>
    <row r="197" spans="1:10" ht="93.75" x14ac:dyDescent="0.3">
      <c r="A197" s="23" t="s">
        <v>651</v>
      </c>
      <c r="B197" s="111" t="s">
        <v>652</v>
      </c>
      <c r="C197" s="111" t="s">
        <v>42</v>
      </c>
      <c r="D197" s="12" t="s">
        <v>653</v>
      </c>
      <c r="E197" s="19" t="s">
        <v>372</v>
      </c>
      <c r="F197" s="32" t="s">
        <v>553</v>
      </c>
      <c r="G197" s="66">
        <f t="shared" si="2"/>
        <v>10000000</v>
      </c>
      <c r="H197" s="2"/>
      <c r="I197" s="2">
        <v>10000000</v>
      </c>
      <c r="J197" s="51">
        <f>I197</f>
        <v>10000000</v>
      </c>
    </row>
    <row r="198" spans="1:10" ht="37.5" x14ac:dyDescent="0.3">
      <c r="A198" s="23" t="s">
        <v>226</v>
      </c>
      <c r="B198" s="4" t="s">
        <v>124</v>
      </c>
      <c r="C198" s="4" t="s">
        <v>43</v>
      </c>
      <c r="D198" s="1" t="s">
        <v>125</v>
      </c>
      <c r="E198" s="19" t="s">
        <v>374</v>
      </c>
      <c r="F198" s="32" t="s">
        <v>553</v>
      </c>
      <c r="G198" s="66">
        <f t="shared" si="2"/>
        <v>565005</v>
      </c>
      <c r="H198" s="2"/>
      <c r="I198" s="2">
        <f>620000-52+250000-75343-229600</f>
        <v>565005</v>
      </c>
      <c r="J198" s="51">
        <f t="shared" si="3"/>
        <v>565005</v>
      </c>
    </row>
    <row r="199" spans="1:10" ht="56.25" x14ac:dyDescent="0.3">
      <c r="A199" s="23" t="s">
        <v>306</v>
      </c>
      <c r="B199" s="4" t="s">
        <v>307</v>
      </c>
      <c r="C199" s="4" t="s">
        <v>308</v>
      </c>
      <c r="D199" s="1" t="s">
        <v>309</v>
      </c>
      <c r="E199" s="19" t="s">
        <v>374</v>
      </c>
      <c r="F199" s="32" t="s">
        <v>553</v>
      </c>
      <c r="G199" s="66">
        <f t="shared" si="2"/>
        <v>29843</v>
      </c>
      <c r="H199" s="2"/>
      <c r="I199" s="2">
        <f>290000+600000-860157</f>
        <v>29843</v>
      </c>
      <c r="J199" s="51">
        <f t="shared" si="3"/>
        <v>29843</v>
      </c>
    </row>
    <row r="200" spans="1:10" ht="37.5" hidden="1" x14ac:dyDescent="0.3">
      <c r="A200" s="23" t="s">
        <v>227</v>
      </c>
      <c r="B200" s="4" t="s">
        <v>228</v>
      </c>
      <c r="C200" s="4"/>
      <c r="D200" s="35" t="s">
        <v>266</v>
      </c>
      <c r="E200" s="19" t="s">
        <v>374</v>
      </c>
      <c r="F200" s="32"/>
      <c r="G200" s="66">
        <f t="shared" si="2"/>
        <v>0</v>
      </c>
      <c r="H200" s="2"/>
      <c r="I200" s="2"/>
      <c r="J200" s="51"/>
    </row>
    <row r="201" spans="1:10" ht="82.5" hidden="1" customHeight="1" x14ac:dyDescent="0.3">
      <c r="A201" s="25" t="s">
        <v>229</v>
      </c>
      <c r="B201" s="7" t="s">
        <v>230</v>
      </c>
      <c r="C201" s="7" t="s">
        <v>314</v>
      </c>
      <c r="D201" s="10" t="s">
        <v>231</v>
      </c>
      <c r="E201" s="19" t="s">
        <v>374</v>
      </c>
      <c r="F201" s="32" t="s">
        <v>553</v>
      </c>
      <c r="G201" s="66">
        <f t="shared" si="2"/>
        <v>0</v>
      </c>
      <c r="H201" s="2"/>
      <c r="I201" s="2"/>
      <c r="J201" s="51">
        <f>I201</f>
        <v>0</v>
      </c>
    </row>
    <row r="202" spans="1:10" ht="60" hidden="1" customHeight="1" x14ac:dyDescent="0.3">
      <c r="A202" s="23" t="s">
        <v>472</v>
      </c>
      <c r="B202" s="4" t="s">
        <v>473</v>
      </c>
      <c r="C202" s="111" t="s">
        <v>44</v>
      </c>
      <c r="D202" s="1" t="s">
        <v>471</v>
      </c>
      <c r="E202" s="19" t="s">
        <v>374</v>
      </c>
      <c r="F202" s="32"/>
      <c r="G202" s="66">
        <f t="shared" si="2"/>
        <v>0</v>
      </c>
      <c r="H202" s="2"/>
      <c r="I202" s="2"/>
      <c r="J202" s="51">
        <f>I202</f>
        <v>0</v>
      </c>
    </row>
    <row r="203" spans="1:10" ht="75" customHeight="1" x14ac:dyDescent="0.3">
      <c r="A203" s="23" t="s">
        <v>463</v>
      </c>
      <c r="B203" s="4" t="s">
        <v>464</v>
      </c>
      <c r="C203" s="111" t="s">
        <v>44</v>
      </c>
      <c r="D203" s="1" t="s">
        <v>465</v>
      </c>
      <c r="E203" s="19" t="s">
        <v>373</v>
      </c>
      <c r="F203" s="32" t="s">
        <v>554</v>
      </c>
      <c r="G203" s="66">
        <f t="shared" si="2"/>
        <v>5993336</v>
      </c>
      <c r="H203" s="2"/>
      <c r="I203" s="2">
        <f>6046900-2546900+50000+2439357+10000-6490+469</f>
        <v>5993336</v>
      </c>
      <c r="J203" s="51">
        <f>I203</f>
        <v>5993336</v>
      </c>
    </row>
    <row r="204" spans="1:10" ht="57.75" customHeight="1" x14ac:dyDescent="0.3">
      <c r="A204" s="23" t="s">
        <v>607</v>
      </c>
      <c r="B204" s="4" t="s">
        <v>437</v>
      </c>
      <c r="C204" s="111" t="s">
        <v>33</v>
      </c>
      <c r="D204" s="1" t="s">
        <v>608</v>
      </c>
      <c r="E204" s="19" t="s">
        <v>609</v>
      </c>
      <c r="F204" s="32" t="s">
        <v>610</v>
      </c>
      <c r="G204" s="66">
        <f t="shared" si="2"/>
        <v>1810000</v>
      </c>
      <c r="H204" s="2">
        <f>280000+1100000+430000</f>
        <v>1810000</v>
      </c>
      <c r="I204" s="2"/>
      <c r="J204" s="51"/>
    </row>
    <row r="205" spans="1:10" ht="57.6" customHeight="1" x14ac:dyDescent="0.3">
      <c r="A205" s="23" t="s">
        <v>607</v>
      </c>
      <c r="B205" s="4" t="s">
        <v>437</v>
      </c>
      <c r="C205" s="111" t="s">
        <v>33</v>
      </c>
      <c r="D205" s="1" t="s">
        <v>608</v>
      </c>
      <c r="E205" s="19" t="s">
        <v>663</v>
      </c>
      <c r="F205" s="32" t="s">
        <v>664</v>
      </c>
      <c r="G205" s="66">
        <f t="shared" si="2"/>
        <v>500000</v>
      </c>
      <c r="H205" s="2">
        <f>500000</f>
        <v>500000</v>
      </c>
      <c r="I205" s="2"/>
      <c r="J205" s="51"/>
    </row>
    <row r="206" spans="1:10" ht="37.5" x14ac:dyDescent="0.3">
      <c r="A206" s="23" t="s">
        <v>593</v>
      </c>
      <c r="B206" s="4" t="s">
        <v>201</v>
      </c>
      <c r="C206" s="4" t="s">
        <v>33</v>
      </c>
      <c r="D206" s="15" t="s">
        <v>203</v>
      </c>
      <c r="E206" s="19" t="s">
        <v>591</v>
      </c>
      <c r="F206" s="32" t="s">
        <v>592</v>
      </c>
      <c r="G206" s="66">
        <f>H206+I206</f>
        <v>150000</v>
      </c>
      <c r="H206" s="2"/>
      <c r="I206" s="2">
        <f>200000-50000</f>
        <v>150000</v>
      </c>
      <c r="J206" s="51">
        <f>I206</f>
        <v>150000</v>
      </c>
    </row>
    <row r="207" spans="1:10" ht="63" customHeight="1" x14ac:dyDescent="0.2">
      <c r="A207" s="25" t="s">
        <v>585</v>
      </c>
      <c r="B207" s="7" t="s">
        <v>202</v>
      </c>
      <c r="C207" s="7" t="s">
        <v>33</v>
      </c>
      <c r="D207" s="11" t="s">
        <v>204</v>
      </c>
      <c r="E207" s="10" t="s">
        <v>368</v>
      </c>
      <c r="F207" s="32" t="s">
        <v>544</v>
      </c>
      <c r="G207" s="66">
        <f t="shared" ref="G207:G213" si="4">H207+I207</f>
        <v>124500</v>
      </c>
      <c r="H207" s="2"/>
      <c r="I207" s="3">
        <f>J207</f>
        <v>124500</v>
      </c>
      <c r="J207" s="48">
        <f>625000-500500</f>
        <v>124500</v>
      </c>
    </row>
    <row r="208" spans="1:10" ht="37.5" x14ac:dyDescent="0.2">
      <c r="A208" s="23" t="s">
        <v>415</v>
      </c>
      <c r="B208" s="4" t="s">
        <v>208</v>
      </c>
      <c r="C208" s="4" t="s">
        <v>33</v>
      </c>
      <c r="D208" s="15" t="s">
        <v>209</v>
      </c>
      <c r="E208" s="92" t="s">
        <v>360</v>
      </c>
      <c r="F208" s="32" t="s">
        <v>545</v>
      </c>
      <c r="G208" s="66">
        <f t="shared" si="4"/>
        <v>42177500</v>
      </c>
      <c r="H208" s="134">
        <f>32288974+20000+2800000-150000-150000+5000000-100000</f>
        <v>39708974</v>
      </c>
      <c r="I208" s="134">
        <f>6226691+150000-79100+128886-108886-621700-3277400+50035</f>
        <v>2468526</v>
      </c>
      <c r="J208" s="135">
        <f>I208</f>
        <v>2468526</v>
      </c>
    </row>
    <row r="209" spans="1:10" ht="37.5" x14ac:dyDescent="0.2">
      <c r="A209" s="23" t="s">
        <v>415</v>
      </c>
      <c r="B209" s="4" t="s">
        <v>208</v>
      </c>
      <c r="C209" s="4" t="s">
        <v>33</v>
      </c>
      <c r="D209" s="15" t="s">
        <v>209</v>
      </c>
      <c r="E209" s="92" t="s">
        <v>489</v>
      </c>
      <c r="F209" s="32" t="s">
        <v>546</v>
      </c>
      <c r="G209" s="66">
        <f t="shared" si="4"/>
        <v>24650000</v>
      </c>
      <c r="H209" s="134">
        <f>16800000+4000000+1700000+550000+1300000+150000+150000</f>
        <v>24650000</v>
      </c>
      <c r="I209" s="6"/>
      <c r="J209" s="55"/>
    </row>
    <row r="210" spans="1:10" ht="37.5" x14ac:dyDescent="0.2">
      <c r="A210" s="23" t="s">
        <v>415</v>
      </c>
      <c r="B210" s="4" t="s">
        <v>208</v>
      </c>
      <c r="C210" s="4" t="s">
        <v>33</v>
      </c>
      <c r="D210" s="15" t="s">
        <v>209</v>
      </c>
      <c r="E210" s="92" t="s">
        <v>363</v>
      </c>
      <c r="F210" s="32" t="s">
        <v>547</v>
      </c>
      <c r="G210" s="66">
        <f t="shared" si="4"/>
        <v>568450</v>
      </c>
      <c r="H210" s="134">
        <f>150000+200000+218450</f>
        <v>568450</v>
      </c>
      <c r="I210" s="6"/>
      <c r="J210" s="55"/>
    </row>
    <row r="211" spans="1:10" ht="56.25" x14ac:dyDescent="0.2">
      <c r="A211" s="23" t="s">
        <v>415</v>
      </c>
      <c r="B211" s="4" t="s">
        <v>208</v>
      </c>
      <c r="C211" s="4" t="s">
        <v>33</v>
      </c>
      <c r="D211" s="15" t="s">
        <v>209</v>
      </c>
      <c r="E211" s="92" t="s">
        <v>380</v>
      </c>
      <c r="F211" s="32" t="s">
        <v>548</v>
      </c>
      <c r="G211" s="66">
        <f t="shared" si="4"/>
        <v>11776000</v>
      </c>
      <c r="H211" s="134">
        <f>11800000-24000-50000-135000-1195000+930000+450000</f>
        <v>11776000</v>
      </c>
      <c r="I211" s="6"/>
      <c r="J211" s="55">
        <f>I211</f>
        <v>0</v>
      </c>
    </row>
    <row r="212" spans="1:10" ht="93.75" x14ac:dyDescent="0.2">
      <c r="A212" s="23" t="s">
        <v>415</v>
      </c>
      <c r="B212" s="4" t="s">
        <v>208</v>
      </c>
      <c r="C212" s="4" t="s">
        <v>33</v>
      </c>
      <c r="D212" s="15" t="s">
        <v>209</v>
      </c>
      <c r="E212" s="92" t="s">
        <v>392</v>
      </c>
      <c r="F212" s="32" t="s">
        <v>579</v>
      </c>
      <c r="G212" s="66">
        <f t="shared" si="4"/>
        <v>4725000</v>
      </c>
      <c r="H212" s="134">
        <f>1510000+130000+400000+285000+500000+1100000+800000</f>
        <v>4725000</v>
      </c>
      <c r="I212" s="6"/>
      <c r="J212" s="55"/>
    </row>
    <row r="213" spans="1:10" ht="37.5" x14ac:dyDescent="0.2">
      <c r="A213" s="23" t="s">
        <v>415</v>
      </c>
      <c r="B213" s="4" t="s">
        <v>208</v>
      </c>
      <c r="C213" s="4" t="s">
        <v>33</v>
      </c>
      <c r="D213" s="15" t="s">
        <v>209</v>
      </c>
      <c r="E213" s="92" t="s">
        <v>588</v>
      </c>
      <c r="F213" s="32" t="s">
        <v>594</v>
      </c>
      <c r="G213" s="66">
        <f t="shared" si="4"/>
        <v>1567000</v>
      </c>
      <c r="H213" s="134">
        <f>600000+590000+330000+47000</f>
        <v>1567000</v>
      </c>
      <c r="I213" s="6"/>
      <c r="J213" s="55"/>
    </row>
    <row r="214" spans="1:10" ht="37.5" x14ac:dyDescent="0.3">
      <c r="A214" s="23" t="s">
        <v>415</v>
      </c>
      <c r="B214" s="4" t="s">
        <v>208</v>
      </c>
      <c r="C214" s="4" t="s">
        <v>33</v>
      </c>
      <c r="D214" s="15" t="s">
        <v>209</v>
      </c>
      <c r="E214" s="19" t="s">
        <v>374</v>
      </c>
      <c r="F214" s="32" t="s">
        <v>553</v>
      </c>
      <c r="G214" s="66">
        <f t="shared" si="2"/>
        <v>1020000</v>
      </c>
      <c r="H214" s="2"/>
      <c r="I214" s="2">
        <f>20000+4000000-250000-500000-65000-100000-2585000+500000</f>
        <v>1020000</v>
      </c>
      <c r="J214" s="51">
        <f t="shared" ref="J214:J222" si="5">I214</f>
        <v>1020000</v>
      </c>
    </row>
    <row r="215" spans="1:10" ht="75" x14ac:dyDescent="0.3">
      <c r="A215" s="23" t="s">
        <v>415</v>
      </c>
      <c r="B215" s="4" t="s">
        <v>208</v>
      </c>
      <c r="C215" s="4" t="s">
        <v>33</v>
      </c>
      <c r="D215" s="15" t="s">
        <v>209</v>
      </c>
      <c r="E215" s="19" t="s">
        <v>449</v>
      </c>
      <c r="F215" s="32" t="s">
        <v>555</v>
      </c>
      <c r="G215" s="66">
        <f t="shared" si="2"/>
        <v>3720200</v>
      </c>
      <c r="H215" s="2"/>
      <c r="I215" s="2">
        <f>70000+1488000+2215835-3600-50035</f>
        <v>3720200</v>
      </c>
      <c r="J215" s="51">
        <f t="shared" si="5"/>
        <v>3720200</v>
      </c>
    </row>
    <row r="216" spans="1:10" ht="56.25" x14ac:dyDescent="0.3">
      <c r="A216" s="23" t="s">
        <v>601</v>
      </c>
      <c r="B216" s="4" t="s">
        <v>421</v>
      </c>
      <c r="C216" s="4" t="s">
        <v>33</v>
      </c>
      <c r="D216" s="15" t="s">
        <v>603</v>
      </c>
      <c r="E216" s="19" t="s">
        <v>423</v>
      </c>
      <c r="F216" s="32" t="s">
        <v>602</v>
      </c>
      <c r="G216" s="66">
        <f t="shared" si="2"/>
        <v>675000</v>
      </c>
      <c r="H216" s="2">
        <f>300000+145000+230000</f>
        <v>675000</v>
      </c>
      <c r="I216" s="2"/>
      <c r="J216" s="51"/>
    </row>
    <row r="217" spans="1:10" ht="43.5" customHeight="1" x14ac:dyDescent="0.3">
      <c r="A217" s="23" t="s">
        <v>450</v>
      </c>
      <c r="B217" s="17" t="s">
        <v>268</v>
      </c>
      <c r="C217" s="17" t="s">
        <v>269</v>
      </c>
      <c r="D217" s="16" t="s">
        <v>270</v>
      </c>
      <c r="E217" s="92" t="s">
        <v>370</v>
      </c>
      <c r="F217" s="32" t="s">
        <v>549</v>
      </c>
      <c r="G217" s="66">
        <f>H217+I217</f>
        <v>655000</v>
      </c>
      <c r="H217" s="6"/>
      <c r="I217" s="6">
        <f>500000+155000</f>
        <v>655000</v>
      </c>
      <c r="J217" s="55">
        <f t="shared" si="5"/>
        <v>655000</v>
      </c>
    </row>
    <row r="218" spans="1:10" ht="43.5" customHeight="1" x14ac:dyDescent="0.3">
      <c r="A218" s="23" t="s">
        <v>450</v>
      </c>
      <c r="B218" s="17" t="s">
        <v>268</v>
      </c>
      <c r="C218" s="17" t="s">
        <v>269</v>
      </c>
      <c r="D218" s="16" t="s">
        <v>270</v>
      </c>
      <c r="E218" s="19" t="s">
        <v>372</v>
      </c>
      <c r="F218" s="32" t="s">
        <v>553</v>
      </c>
      <c r="G218" s="66">
        <f>H218+I218</f>
        <v>400000</v>
      </c>
      <c r="H218" s="6"/>
      <c r="I218" s="6">
        <v>400000</v>
      </c>
      <c r="J218" s="55">
        <f>I218</f>
        <v>400000</v>
      </c>
    </row>
    <row r="219" spans="1:10" ht="45" customHeight="1" x14ac:dyDescent="0.3">
      <c r="A219" s="23" t="s">
        <v>232</v>
      </c>
      <c r="B219" s="4" t="s">
        <v>95</v>
      </c>
      <c r="C219" s="4" t="s">
        <v>233</v>
      </c>
      <c r="D219" s="35" t="s">
        <v>234</v>
      </c>
      <c r="E219" s="19" t="s">
        <v>373</v>
      </c>
      <c r="F219" s="32" t="s">
        <v>554</v>
      </c>
      <c r="G219" s="66">
        <f t="shared" si="2"/>
        <v>31487883</v>
      </c>
      <c r="H219" s="2"/>
      <c r="I219" s="2">
        <f>35591061-970000+600000-1088599-233120-330000-500000-218450+22491-11000+80500-1455000</f>
        <v>31487883</v>
      </c>
      <c r="J219" s="51">
        <f t="shared" si="5"/>
        <v>31487883</v>
      </c>
    </row>
    <row r="220" spans="1:10" ht="37.5" hidden="1" x14ac:dyDescent="0.3">
      <c r="A220" s="23" t="s">
        <v>398</v>
      </c>
      <c r="B220" s="4" t="s">
        <v>399</v>
      </c>
      <c r="C220" s="4" t="s">
        <v>233</v>
      </c>
      <c r="D220" s="35" t="s">
        <v>410</v>
      </c>
      <c r="E220" s="19" t="s">
        <v>373</v>
      </c>
      <c r="F220" s="32"/>
      <c r="G220" s="66">
        <f t="shared" si="2"/>
        <v>0</v>
      </c>
      <c r="H220" s="2"/>
      <c r="I220" s="21"/>
      <c r="J220" s="51">
        <f t="shared" si="5"/>
        <v>0</v>
      </c>
    </row>
    <row r="221" spans="1:10" ht="40.5" customHeight="1" x14ac:dyDescent="0.3">
      <c r="A221" s="23" t="s">
        <v>400</v>
      </c>
      <c r="B221" s="4" t="s">
        <v>406</v>
      </c>
      <c r="C221" s="4" t="s">
        <v>233</v>
      </c>
      <c r="D221" s="35" t="s">
        <v>411</v>
      </c>
      <c r="E221" s="19" t="s">
        <v>373</v>
      </c>
      <c r="F221" s="32" t="s">
        <v>554</v>
      </c>
      <c r="G221" s="66">
        <f t="shared" si="2"/>
        <v>28916</v>
      </c>
      <c r="H221" s="2"/>
      <c r="I221" s="2">
        <f>70000-41084</f>
        <v>28916</v>
      </c>
      <c r="J221" s="51">
        <f t="shared" si="5"/>
        <v>28916</v>
      </c>
    </row>
    <row r="222" spans="1:10" ht="44.25" customHeight="1" x14ac:dyDescent="0.3">
      <c r="A222" s="23" t="s">
        <v>401</v>
      </c>
      <c r="B222" s="4" t="s">
        <v>407</v>
      </c>
      <c r="C222" s="4" t="s">
        <v>233</v>
      </c>
      <c r="D222" s="35" t="s">
        <v>412</v>
      </c>
      <c r="E222" s="19" t="s">
        <v>373</v>
      </c>
      <c r="F222" s="32" t="s">
        <v>554</v>
      </c>
      <c r="G222" s="66">
        <f t="shared" si="2"/>
        <v>109999000</v>
      </c>
      <c r="H222" s="2"/>
      <c r="I222" s="2">
        <f>35255000+1166000-1416000-13279370-10000000+80000000+14237330+1581924+2454116</f>
        <v>109999000</v>
      </c>
      <c r="J222" s="51">
        <f t="shared" si="5"/>
        <v>109999000</v>
      </c>
    </row>
    <row r="223" spans="1:10" ht="75" x14ac:dyDescent="0.3">
      <c r="A223" s="23" t="s">
        <v>402</v>
      </c>
      <c r="B223" s="4" t="s">
        <v>408</v>
      </c>
      <c r="C223" s="4" t="s">
        <v>233</v>
      </c>
      <c r="D223" s="35" t="s">
        <v>413</v>
      </c>
      <c r="E223" s="19" t="s">
        <v>373</v>
      </c>
      <c r="F223" s="32" t="s">
        <v>554</v>
      </c>
      <c r="G223" s="66">
        <f t="shared" si="2"/>
        <v>11375802</v>
      </c>
      <c r="H223" s="2"/>
      <c r="I223" s="2">
        <f>8464390+550000+2950000-5590+4300000-4300000-12898-570100</f>
        <v>11375802</v>
      </c>
      <c r="J223" s="51">
        <f t="shared" ref="J223:J231" si="6">I223</f>
        <v>11375802</v>
      </c>
    </row>
    <row r="224" spans="1:10" ht="75" x14ac:dyDescent="0.3">
      <c r="A224" s="23" t="s">
        <v>431</v>
      </c>
      <c r="B224" s="4" t="s">
        <v>432</v>
      </c>
      <c r="C224" s="4" t="s">
        <v>12</v>
      </c>
      <c r="D224" s="12" t="s">
        <v>433</v>
      </c>
      <c r="E224" s="19" t="s">
        <v>373</v>
      </c>
      <c r="F224" s="32" t="s">
        <v>554</v>
      </c>
      <c r="G224" s="66">
        <f t="shared" si="2"/>
        <v>4827976</v>
      </c>
      <c r="H224" s="2"/>
      <c r="I224" s="2">
        <f>250000+1561657+688343+992976+1000000+200000+135000</f>
        <v>4827976</v>
      </c>
      <c r="J224" s="51">
        <f t="shared" si="6"/>
        <v>4827976</v>
      </c>
    </row>
    <row r="225" spans="1:10" ht="75" x14ac:dyDescent="0.3">
      <c r="A225" s="23" t="s">
        <v>616</v>
      </c>
      <c r="B225" s="4" t="s">
        <v>617</v>
      </c>
      <c r="C225" s="4" t="s">
        <v>12</v>
      </c>
      <c r="D225" s="12" t="s">
        <v>615</v>
      </c>
      <c r="E225" s="19" t="s">
        <v>373</v>
      </c>
      <c r="F225" s="32" t="s">
        <v>554</v>
      </c>
      <c r="G225" s="66">
        <f t="shared" si="2"/>
        <v>19588599</v>
      </c>
      <c r="H225" s="2"/>
      <c r="I225" s="2">
        <f>10000000+1088599+8500000</f>
        <v>19588599</v>
      </c>
      <c r="J225" s="51">
        <f t="shared" si="6"/>
        <v>19588599</v>
      </c>
    </row>
    <row r="226" spans="1:10" ht="56.25" x14ac:dyDescent="0.3">
      <c r="A226" s="23" t="s">
        <v>403</v>
      </c>
      <c r="B226" s="4" t="s">
        <v>409</v>
      </c>
      <c r="C226" s="4" t="s">
        <v>12</v>
      </c>
      <c r="D226" s="35" t="s">
        <v>414</v>
      </c>
      <c r="E226" s="19" t="s">
        <v>372</v>
      </c>
      <c r="F226" s="32" t="s">
        <v>553</v>
      </c>
      <c r="G226" s="66">
        <f t="shared" si="2"/>
        <v>96734193</v>
      </c>
      <c r="H226" s="2"/>
      <c r="I226" s="8">
        <f>104019493-7285300</f>
        <v>96734193</v>
      </c>
      <c r="J226" s="51">
        <f>I226-67909411</f>
        <v>28824782</v>
      </c>
    </row>
    <row r="227" spans="1:10" ht="93.75" hidden="1" x14ac:dyDescent="0.3">
      <c r="A227" s="23" t="s">
        <v>480</v>
      </c>
      <c r="B227" s="111" t="s">
        <v>481</v>
      </c>
      <c r="C227" s="4" t="s">
        <v>12</v>
      </c>
      <c r="D227" s="15" t="s">
        <v>482</v>
      </c>
      <c r="E227" s="19" t="s">
        <v>373</v>
      </c>
      <c r="F227" s="32"/>
      <c r="G227" s="66">
        <f t="shared" si="2"/>
        <v>0</v>
      </c>
      <c r="H227" s="2"/>
      <c r="I227" s="20"/>
      <c r="J227" s="56">
        <f t="shared" si="6"/>
        <v>0</v>
      </c>
    </row>
    <row r="228" spans="1:10" ht="81.75" customHeight="1" x14ac:dyDescent="0.2">
      <c r="A228" s="25" t="s">
        <v>375</v>
      </c>
      <c r="B228" s="42" t="s">
        <v>213</v>
      </c>
      <c r="C228" s="7" t="s">
        <v>35</v>
      </c>
      <c r="D228" s="9" t="s">
        <v>215</v>
      </c>
      <c r="E228" s="10" t="s">
        <v>364</v>
      </c>
      <c r="F228" s="32" t="s">
        <v>550</v>
      </c>
      <c r="G228" s="66">
        <f>H228+I228</f>
        <v>93937977</v>
      </c>
      <c r="H228" s="134">
        <f>78837977+100000+15000000</f>
        <v>93937977</v>
      </c>
      <c r="I228" s="134"/>
      <c r="J228" s="135">
        <f>I228</f>
        <v>0</v>
      </c>
    </row>
    <row r="229" spans="1:10" ht="56.25" x14ac:dyDescent="0.2">
      <c r="A229" s="25" t="s">
        <v>654</v>
      </c>
      <c r="B229" s="42" t="s">
        <v>655</v>
      </c>
      <c r="C229" s="7" t="s">
        <v>636</v>
      </c>
      <c r="D229" s="9" t="s">
        <v>656</v>
      </c>
      <c r="E229" s="10" t="s">
        <v>657</v>
      </c>
      <c r="F229" s="32" t="s">
        <v>659</v>
      </c>
      <c r="G229" s="66">
        <f>H229+I229</f>
        <v>100000</v>
      </c>
      <c r="H229" s="134">
        <f>500000-400000</f>
        <v>100000</v>
      </c>
      <c r="I229" s="134"/>
      <c r="J229" s="135"/>
    </row>
    <row r="230" spans="1:10" ht="80.25" customHeight="1" x14ac:dyDescent="0.3">
      <c r="A230" s="25" t="s">
        <v>375</v>
      </c>
      <c r="B230" s="42" t="s">
        <v>213</v>
      </c>
      <c r="C230" s="42" t="s">
        <v>35</v>
      </c>
      <c r="D230" s="9" t="s">
        <v>215</v>
      </c>
      <c r="E230" s="19" t="s">
        <v>372</v>
      </c>
      <c r="F230" s="32" t="s">
        <v>553</v>
      </c>
      <c r="G230" s="67">
        <f t="shared" ref="G230:G254" si="7">H230+I230</f>
        <v>17456534</v>
      </c>
      <c r="H230" s="8"/>
      <c r="I230" s="21">
        <f>16622139-2169600-29884+10000000+322679-5398200-600000-20000-1270600</f>
        <v>17456534</v>
      </c>
      <c r="J230" s="57">
        <f t="shared" si="6"/>
        <v>17456534</v>
      </c>
    </row>
    <row r="231" spans="1:10" ht="75" hidden="1" x14ac:dyDescent="0.3">
      <c r="A231" s="25" t="s">
        <v>375</v>
      </c>
      <c r="B231" s="42" t="s">
        <v>213</v>
      </c>
      <c r="C231" s="42" t="s">
        <v>35</v>
      </c>
      <c r="D231" s="9" t="s">
        <v>215</v>
      </c>
      <c r="E231" s="19" t="s">
        <v>373</v>
      </c>
      <c r="F231" s="32"/>
      <c r="G231" s="67">
        <f t="shared" si="7"/>
        <v>0</v>
      </c>
      <c r="H231" s="2"/>
      <c r="I231" s="2"/>
      <c r="J231" s="51">
        <f t="shared" si="6"/>
        <v>0</v>
      </c>
    </row>
    <row r="232" spans="1:10" ht="93.75" hidden="1" x14ac:dyDescent="0.3">
      <c r="A232" s="23" t="s">
        <v>405</v>
      </c>
      <c r="B232" s="4" t="s">
        <v>152</v>
      </c>
      <c r="C232" s="17" t="s">
        <v>12</v>
      </c>
      <c r="D232" s="16" t="s">
        <v>154</v>
      </c>
      <c r="E232" s="19" t="s">
        <v>435</v>
      </c>
      <c r="F232" s="27"/>
      <c r="G232" s="67">
        <f t="shared" si="7"/>
        <v>0</v>
      </c>
      <c r="H232" s="2"/>
      <c r="I232" s="2"/>
      <c r="J232" s="51"/>
    </row>
    <row r="233" spans="1:10" ht="37.5" hidden="1" x14ac:dyDescent="0.3">
      <c r="A233" s="23" t="s">
        <v>404</v>
      </c>
      <c r="B233" s="43" t="s">
        <v>282</v>
      </c>
      <c r="C233" s="43" t="s">
        <v>284</v>
      </c>
      <c r="D233" s="12" t="s">
        <v>286</v>
      </c>
      <c r="E233" s="19" t="s">
        <v>373</v>
      </c>
      <c r="F233" s="32"/>
      <c r="G233" s="66">
        <f t="shared" ref="G233:G240" si="8">H233+I233</f>
        <v>0</v>
      </c>
      <c r="H233" s="2"/>
      <c r="I233" s="2"/>
      <c r="J233" s="51"/>
    </row>
    <row r="234" spans="1:10" ht="32.25" customHeight="1" x14ac:dyDescent="0.3">
      <c r="A234" s="23" t="s">
        <v>586</v>
      </c>
      <c r="B234" s="111" t="s">
        <v>145</v>
      </c>
      <c r="C234" s="4" t="s">
        <v>11</v>
      </c>
      <c r="D234" s="33" t="s">
        <v>84</v>
      </c>
      <c r="E234" s="92" t="s">
        <v>371</v>
      </c>
      <c r="F234" s="32" t="s">
        <v>551</v>
      </c>
      <c r="G234" s="66">
        <f t="shared" si="8"/>
        <v>333390</v>
      </c>
      <c r="H234" s="2"/>
      <c r="I234" s="2">
        <f>183390+150000</f>
        <v>333390</v>
      </c>
      <c r="J234" s="51">
        <f>I234</f>
        <v>333390</v>
      </c>
    </row>
    <row r="235" spans="1:10" ht="60" customHeight="1" x14ac:dyDescent="0.2">
      <c r="A235" s="23" t="s">
        <v>587</v>
      </c>
      <c r="B235" s="111" t="s">
        <v>271</v>
      </c>
      <c r="C235" s="111" t="s">
        <v>12</v>
      </c>
      <c r="D235" s="12" t="s">
        <v>77</v>
      </c>
      <c r="E235" s="92" t="s">
        <v>470</v>
      </c>
      <c r="F235" s="32" t="s">
        <v>552</v>
      </c>
      <c r="G235" s="66">
        <f t="shared" si="8"/>
        <v>1230000</v>
      </c>
      <c r="H235" s="2"/>
      <c r="I235" s="2">
        <f>750000+5000+135000-135000+475000</f>
        <v>1230000</v>
      </c>
      <c r="J235" s="51">
        <f>I235</f>
        <v>1230000</v>
      </c>
    </row>
    <row r="236" spans="1:10" ht="56.25" x14ac:dyDescent="0.3">
      <c r="A236" s="23" t="s">
        <v>587</v>
      </c>
      <c r="B236" s="111" t="s">
        <v>271</v>
      </c>
      <c r="C236" s="111" t="s">
        <v>12</v>
      </c>
      <c r="D236" s="12" t="s">
        <v>77</v>
      </c>
      <c r="E236" s="19" t="s">
        <v>462</v>
      </c>
      <c r="F236" s="75" t="s">
        <v>583</v>
      </c>
      <c r="G236" s="66">
        <f t="shared" si="8"/>
        <v>2670000</v>
      </c>
      <c r="H236" s="2"/>
      <c r="I236" s="2">
        <f>50000+1195000+135000+570000+720000</f>
        <v>2670000</v>
      </c>
      <c r="J236" s="51">
        <f>I236</f>
        <v>2670000</v>
      </c>
    </row>
    <row r="237" spans="1:10" ht="75" x14ac:dyDescent="0.3">
      <c r="A237" s="23" t="s">
        <v>587</v>
      </c>
      <c r="B237" s="111" t="s">
        <v>271</v>
      </c>
      <c r="C237" s="111" t="s">
        <v>12</v>
      </c>
      <c r="D237" s="12" t="s">
        <v>77</v>
      </c>
      <c r="E237" s="19" t="s">
        <v>619</v>
      </c>
      <c r="F237" s="75" t="s">
        <v>618</v>
      </c>
      <c r="G237" s="66">
        <f t="shared" si="8"/>
        <v>600000</v>
      </c>
      <c r="H237" s="2"/>
      <c r="I237" s="2">
        <v>600000</v>
      </c>
      <c r="J237" s="51">
        <f>I237</f>
        <v>600000</v>
      </c>
    </row>
    <row r="238" spans="1:10" ht="56.25" x14ac:dyDescent="0.3">
      <c r="A238" s="23" t="s">
        <v>587</v>
      </c>
      <c r="B238" s="111" t="s">
        <v>271</v>
      </c>
      <c r="C238" s="111" t="s">
        <v>12</v>
      </c>
      <c r="D238" s="12" t="s">
        <v>77</v>
      </c>
      <c r="E238" s="19" t="s">
        <v>390</v>
      </c>
      <c r="F238" s="75" t="s">
        <v>578</v>
      </c>
      <c r="G238" s="66">
        <f t="shared" si="8"/>
        <v>1039500</v>
      </c>
      <c r="H238" s="2"/>
      <c r="I238" s="2">
        <f>1039500</f>
        <v>1039500</v>
      </c>
      <c r="J238" s="51">
        <f>I238</f>
        <v>1039500</v>
      </c>
    </row>
    <row r="239" spans="1:10" ht="37.5" x14ac:dyDescent="0.3">
      <c r="A239" s="23" t="s">
        <v>404</v>
      </c>
      <c r="B239" s="111" t="s">
        <v>282</v>
      </c>
      <c r="C239" s="111" t="s">
        <v>284</v>
      </c>
      <c r="D239" s="12" t="s">
        <v>286</v>
      </c>
      <c r="E239" s="19" t="s">
        <v>335</v>
      </c>
      <c r="F239" s="75" t="s">
        <v>513</v>
      </c>
      <c r="G239" s="66">
        <f t="shared" si="8"/>
        <v>624177</v>
      </c>
      <c r="H239" s="2"/>
      <c r="I239" s="2">
        <f>400338+223839</f>
        <v>624177</v>
      </c>
      <c r="J239" s="51"/>
    </row>
    <row r="240" spans="1:10" ht="37.5" x14ac:dyDescent="0.3">
      <c r="A240" s="23" t="s">
        <v>404</v>
      </c>
      <c r="B240" s="111" t="s">
        <v>282</v>
      </c>
      <c r="C240" s="111" t="s">
        <v>284</v>
      </c>
      <c r="D240" s="12" t="s">
        <v>286</v>
      </c>
      <c r="E240" s="19" t="s">
        <v>373</v>
      </c>
      <c r="F240" s="32" t="s">
        <v>554</v>
      </c>
      <c r="G240" s="66">
        <f t="shared" si="8"/>
        <v>31436000</v>
      </c>
      <c r="H240" s="2"/>
      <c r="I240" s="2">
        <v>31436000</v>
      </c>
      <c r="J240" s="51"/>
    </row>
    <row r="241" spans="1:10" ht="55.5" customHeight="1" x14ac:dyDescent="0.2">
      <c r="A241" s="53" t="s">
        <v>141</v>
      </c>
      <c r="B241" s="45"/>
      <c r="C241" s="45"/>
      <c r="D241" s="44" t="s">
        <v>36</v>
      </c>
      <c r="E241" s="44"/>
      <c r="F241" s="38"/>
      <c r="G241" s="65">
        <f>H241+I241</f>
        <v>6508000</v>
      </c>
      <c r="H241" s="5">
        <f>H245+H247+H248+H249+H251</f>
        <v>3309000</v>
      </c>
      <c r="I241" s="5">
        <f>I245+I247+I248+I249+I251+I244</f>
        <v>3199000</v>
      </c>
      <c r="J241" s="5">
        <f>J245+J247+J248+J249+J251+J244</f>
        <v>3199000</v>
      </c>
    </row>
    <row r="242" spans="1:10" ht="18.75" hidden="1" customHeight="1" x14ac:dyDescent="0.3">
      <c r="A242" s="23"/>
      <c r="B242" s="33"/>
      <c r="C242" s="33"/>
      <c r="D242" s="33"/>
      <c r="E242" s="33"/>
      <c r="F242" s="72"/>
      <c r="G242" s="66">
        <f t="shared" si="7"/>
        <v>0</v>
      </c>
      <c r="H242" s="5"/>
      <c r="I242" s="33"/>
      <c r="J242" s="58"/>
    </row>
    <row r="243" spans="1:10" ht="56.25" hidden="1" customHeight="1" x14ac:dyDescent="0.2">
      <c r="A243" s="23"/>
      <c r="B243" s="4"/>
      <c r="C243" s="4"/>
      <c r="D243" s="12"/>
      <c r="E243" s="10" t="s">
        <v>37</v>
      </c>
      <c r="F243" s="69"/>
      <c r="G243" s="66">
        <f t="shared" si="7"/>
        <v>0</v>
      </c>
      <c r="H243" s="5">
        <f>H251+H269</f>
        <v>0</v>
      </c>
      <c r="I243" s="2"/>
      <c r="J243" s="51"/>
    </row>
    <row r="244" spans="1:10" ht="93.75" x14ac:dyDescent="0.3">
      <c r="A244" s="23" t="s">
        <v>290</v>
      </c>
      <c r="B244" s="4" t="s">
        <v>291</v>
      </c>
      <c r="C244" s="4" t="s">
        <v>292</v>
      </c>
      <c r="D244" s="151" t="s">
        <v>293</v>
      </c>
      <c r="E244" s="152" t="s">
        <v>648</v>
      </c>
      <c r="F244" s="150" t="s">
        <v>650</v>
      </c>
      <c r="G244" s="66">
        <f>H244+I244</f>
        <v>2130000</v>
      </c>
      <c r="H244" s="3"/>
      <c r="I244" s="2">
        <f>2000000+130000</f>
        <v>2130000</v>
      </c>
      <c r="J244" s="51">
        <f>I244</f>
        <v>2130000</v>
      </c>
    </row>
    <row r="245" spans="1:10" ht="37.5" x14ac:dyDescent="0.2">
      <c r="A245" s="23" t="s">
        <v>216</v>
      </c>
      <c r="B245" s="4" t="s">
        <v>217</v>
      </c>
      <c r="C245" s="4" t="s">
        <v>7</v>
      </c>
      <c r="D245" s="18" t="s">
        <v>218</v>
      </c>
      <c r="E245" s="10" t="s">
        <v>621</v>
      </c>
      <c r="F245" s="32" t="s">
        <v>645</v>
      </c>
      <c r="G245" s="66">
        <f t="shared" si="7"/>
        <v>700000</v>
      </c>
      <c r="H245" s="2"/>
      <c r="I245" s="2">
        <f>700000</f>
        <v>700000</v>
      </c>
      <c r="J245" s="51">
        <f>I245</f>
        <v>700000</v>
      </c>
    </row>
    <row r="246" spans="1:10" ht="18.75" hidden="1" customHeight="1" x14ac:dyDescent="0.2">
      <c r="A246" s="23" t="s">
        <v>288</v>
      </c>
      <c r="B246" s="4" t="s">
        <v>151</v>
      </c>
      <c r="C246" s="4"/>
      <c r="D246" s="18" t="s">
        <v>153</v>
      </c>
      <c r="E246" s="10"/>
      <c r="F246" s="32"/>
      <c r="G246" s="66">
        <f t="shared" si="7"/>
        <v>199000</v>
      </c>
      <c r="H246" s="2">
        <f>H247</f>
        <v>199000</v>
      </c>
      <c r="I246" s="2">
        <f>I247</f>
        <v>0</v>
      </c>
      <c r="J246" s="51"/>
    </row>
    <row r="247" spans="1:10" ht="112.15" customHeight="1" x14ac:dyDescent="0.2">
      <c r="A247" s="25" t="s">
        <v>289</v>
      </c>
      <c r="B247" s="46" t="s">
        <v>152</v>
      </c>
      <c r="C247" s="46" t="s">
        <v>12</v>
      </c>
      <c r="D247" s="13" t="s">
        <v>154</v>
      </c>
      <c r="E247" s="10" t="s">
        <v>358</v>
      </c>
      <c r="F247" s="32" t="s">
        <v>556</v>
      </c>
      <c r="G247" s="66">
        <f t="shared" si="7"/>
        <v>199000</v>
      </c>
      <c r="H247" s="27">
        <v>199000</v>
      </c>
      <c r="I247" s="8"/>
      <c r="J247" s="50"/>
    </row>
    <row r="248" spans="1:10" ht="56.25" x14ac:dyDescent="0.2">
      <c r="A248" s="25" t="s">
        <v>289</v>
      </c>
      <c r="B248" s="46" t="s">
        <v>152</v>
      </c>
      <c r="C248" s="46" t="s">
        <v>12</v>
      </c>
      <c r="D248" s="13" t="s">
        <v>154</v>
      </c>
      <c r="E248" s="10" t="s">
        <v>628</v>
      </c>
      <c r="F248" s="32" t="s">
        <v>644</v>
      </c>
      <c r="G248" s="66">
        <f t="shared" si="7"/>
        <v>3200000</v>
      </c>
      <c r="H248" s="27">
        <v>3110000</v>
      </c>
      <c r="I248" s="8">
        <v>90000</v>
      </c>
      <c r="J248" s="50">
        <f>I248</f>
        <v>90000</v>
      </c>
    </row>
    <row r="249" spans="1:10" ht="37.5" hidden="1" x14ac:dyDescent="0.3">
      <c r="A249" s="25" t="s">
        <v>289</v>
      </c>
      <c r="B249" s="46" t="s">
        <v>152</v>
      </c>
      <c r="C249" s="46" t="s">
        <v>12</v>
      </c>
      <c r="D249" s="13" t="s">
        <v>154</v>
      </c>
      <c r="E249" s="19" t="s">
        <v>622</v>
      </c>
      <c r="F249" s="75" t="s">
        <v>646</v>
      </c>
      <c r="G249" s="66">
        <f t="shared" si="7"/>
        <v>0</v>
      </c>
      <c r="H249" s="3"/>
      <c r="I249" s="3"/>
      <c r="J249" s="48"/>
    </row>
    <row r="250" spans="1:10" ht="75" hidden="1" x14ac:dyDescent="0.3">
      <c r="A250" s="25" t="s">
        <v>290</v>
      </c>
      <c r="B250" s="7" t="s">
        <v>291</v>
      </c>
      <c r="C250" s="7" t="s">
        <v>292</v>
      </c>
      <c r="D250" s="26" t="s">
        <v>293</v>
      </c>
      <c r="E250" s="19" t="s">
        <v>427</v>
      </c>
      <c r="F250" s="75"/>
      <c r="G250" s="66">
        <f t="shared" si="7"/>
        <v>0</v>
      </c>
      <c r="H250" s="27"/>
      <c r="I250" s="8"/>
      <c r="J250" s="50"/>
    </row>
    <row r="251" spans="1:10" ht="56.25" x14ac:dyDescent="0.3">
      <c r="A251" s="23" t="s">
        <v>219</v>
      </c>
      <c r="B251" s="17" t="s">
        <v>220</v>
      </c>
      <c r="C251" s="17" t="s">
        <v>12</v>
      </c>
      <c r="D251" s="12" t="s">
        <v>221</v>
      </c>
      <c r="E251" s="31" t="s">
        <v>376</v>
      </c>
      <c r="F251" s="32" t="s">
        <v>557</v>
      </c>
      <c r="G251" s="66">
        <f t="shared" si="7"/>
        <v>279000</v>
      </c>
      <c r="H251" s="3"/>
      <c r="I251" s="2">
        <f>199000+80000</f>
        <v>279000</v>
      </c>
      <c r="J251" s="51">
        <f>I251</f>
        <v>279000</v>
      </c>
    </row>
    <row r="252" spans="1:10" ht="56.25" hidden="1" customHeight="1" x14ac:dyDescent="0.3">
      <c r="A252" s="23" t="s">
        <v>294</v>
      </c>
      <c r="B252" s="17" t="s">
        <v>271</v>
      </c>
      <c r="C252" s="17" t="s">
        <v>12</v>
      </c>
      <c r="D252" s="12" t="s">
        <v>77</v>
      </c>
      <c r="E252" s="19" t="s">
        <v>302</v>
      </c>
      <c r="F252" s="75"/>
      <c r="G252" s="66">
        <f t="shared" si="7"/>
        <v>0</v>
      </c>
      <c r="H252" s="3"/>
      <c r="I252" s="2"/>
      <c r="J252" s="51"/>
    </row>
    <row r="253" spans="1:10" ht="18.75" hidden="1" customHeight="1" x14ac:dyDescent="0.3">
      <c r="A253" s="23" t="s">
        <v>288</v>
      </c>
      <c r="B253" s="4" t="s">
        <v>151</v>
      </c>
      <c r="C253" s="4"/>
      <c r="D253" s="18" t="s">
        <v>153</v>
      </c>
      <c r="E253" s="31"/>
      <c r="F253" s="75"/>
      <c r="G253" s="66">
        <f t="shared" si="7"/>
        <v>0</v>
      </c>
      <c r="H253" s="2">
        <f>H254</f>
        <v>0</v>
      </c>
      <c r="I253" s="2">
        <f>I254</f>
        <v>0</v>
      </c>
      <c r="J253" s="51"/>
    </row>
    <row r="254" spans="1:10" ht="37.5" hidden="1" customHeight="1" x14ac:dyDescent="0.3">
      <c r="A254" s="77" t="s">
        <v>289</v>
      </c>
      <c r="B254" s="78" t="s">
        <v>152</v>
      </c>
      <c r="C254" s="78" t="s">
        <v>12</v>
      </c>
      <c r="D254" s="79" t="s">
        <v>154</v>
      </c>
      <c r="E254" s="94" t="s">
        <v>310</v>
      </c>
      <c r="F254" s="75"/>
      <c r="G254" s="66">
        <f t="shared" si="7"/>
        <v>0</v>
      </c>
      <c r="H254" s="27"/>
      <c r="I254" s="8"/>
      <c r="J254" s="50"/>
    </row>
    <row r="255" spans="1:10" ht="64.5" customHeight="1" x14ac:dyDescent="0.35">
      <c r="A255" s="53" t="s">
        <v>385</v>
      </c>
      <c r="B255" s="45"/>
      <c r="C255" s="45"/>
      <c r="D255" s="44" t="s">
        <v>386</v>
      </c>
      <c r="E255" s="88"/>
      <c r="F255" s="91"/>
      <c r="G255" s="89">
        <f>SUM(H255+I255)</f>
        <v>6230331</v>
      </c>
      <c r="H255" s="90">
        <f>SUM(H256:H267)</f>
        <v>3570310</v>
      </c>
      <c r="I255" s="90">
        <f>SUM(I256:I267)</f>
        <v>2660021</v>
      </c>
      <c r="J255" s="115">
        <f>SUM(J256:J267)</f>
        <v>2660021</v>
      </c>
    </row>
    <row r="256" spans="1:10" ht="37.5" x14ac:dyDescent="0.3">
      <c r="A256" s="84" t="s">
        <v>446</v>
      </c>
      <c r="B256" s="85" t="s">
        <v>447</v>
      </c>
      <c r="C256" s="85" t="s">
        <v>96</v>
      </c>
      <c r="D256" s="35" t="s">
        <v>448</v>
      </c>
      <c r="E256" s="93" t="s">
        <v>614</v>
      </c>
      <c r="F256" s="95" t="s">
        <v>620</v>
      </c>
      <c r="G256" s="80">
        <f>H256+I256</f>
        <v>770310</v>
      </c>
      <c r="H256" s="102">
        <v>770310</v>
      </c>
      <c r="I256" s="102">
        <f>J256</f>
        <v>0</v>
      </c>
      <c r="J256" s="83"/>
    </row>
    <row r="257" spans="1:11" ht="75" x14ac:dyDescent="0.3">
      <c r="A257" s="84" t="s">
        <v>446</v>
      </c>
      <c r="B257" s="85" t="s">
        <v>447</v>
      </c>
      <c r="C257" s="85" t="s">
        <v>96</v>
      </c>
      <c r="D257" s="35" t="s">
        <v>448</v>
      </c>
      <c r="E257" s="93" t="s">
        <v>658</v>
      </c>
      <c r="F257" s="153" t="s">
        <v>660</v>
      </c>
      <c r="G257" s="80">
        <f>H257+I257</f>
        <v>2200000</v>
      </c>
      <c r="H257" s="102">
        <f>2100000-350000+1100000+900000-1900000</f>
        <v>1850000</v>
      </c>
      <c r="I257" s="102">
        <v>350000</v>
      </c>
      <c r="J257" s="83">
        <f>I257</f>
        <v>350000</v>
      </c>
    </row>
    <row r="258" spans="1:11" ht="37.5" x14ac:dyDescent="0.3">
      <c r="A258" s="84" t="s">
        <v>446</v>
      </c>
      <c r="B258" s="85" t="s">
        <v>447</v>
      </c>
      <c r="C258" s="85" t="s">
        <v>96</v>
      </c>
      <c r="D258" s="35" t="s">
        <v>448</v>
      </c>
      <c r="E258" s="93" t="s">
        <v>629</v>
      </c>
      <c r="F258" s="91" t="s">
        <v>647</v>
      </c>
      <c r="G258" s="80">
        <f>H258+I258</f>
        <v>480000</v>
      </c>
      <c r="H258" s="81"/>
      <c r="I258" s="82">
        <v>480000</v>
      </c>
      <c r="J258" s="83">
        <f>I258</f>
        <v>480000</v>
      </c>
    </row>
    <row r="259" spans="1:11" ht="82.5" customHeight="1" x14ac:dyDescent="0.3">
      <c r="A259" s="23" t="s">
        <v>387</v>
      </c>
      <c r="B259" s="17" t="s">
        <v>388</v>
      </c>
      <c r="C259" s="17" t="s">
        <v>96</v>
      </c>
      <c r="D259" s="136" t="s">
        <v>389</v>
      </c>
      <c r="E259" s="19" t="s">
        <v>589</v>
      </c>
      <c r="F259" s="91" t="s">
        <v>595</v>
      </c>
      <c r="G259" s="80">
        <f t="shared" ref="G259:G267" si="9">H259+I259</f>
        <v>50000</v>
      </c>
      <c r="H259" s="81">
        <v>50000</v>
      </c>
      <c r="I259" s="82"/>
      <c r="J259" s="83">
        <f>I259</f>
        <v>0</v>
      </c>
    </row>
    <row r="260" spans="1:11" ht="75" x14ac:dyDescent="0.3">
      <c r="A260" s="23" t="s">
        <v>387</v>
      </c>
      <c r="B260" s="17" t="s">
        <v>388</v>
      </c>
      <c r="C260" s="17" t="s">
        <v>96</v>
      </c>
      <c r="D260" s="136" t="s">
        <v>389</v>
      </c>
      <c r="E260" s="19" t="s">
        <v>590</v>
      </c>
      <c r="F260" s="91" t="s">
        <v>596</v>
      </c>
      <c r="G260" s="80">
        <f t="shared" si="9"/>
        <v>1610621</v>
      </c>
      <c r="H260" s="81"/>
      <c r="I260" s="82">
        <v>1610621</v>
      </c>
      <c r="J260" s="83">
        <f>I260</f>
        <v>1610621</v>
      </c>
    </row>
    <row r="261" spans="1:11" ht="75" x14ac:dyDescent="0.3">
      <c r="A261" s="23" t="s">
        <v>387</v>
      </c>
      <c r="B261" s="17" t="s">
        <v>388</v>
      </c>
      <c r="C261" s="17" t="s">
        <v>96</v>
      </c>
      <c r="D261" s="136" t="s">
        <v>389</v>
      </c>
      <c r="E261" s="19" t="s">
        <v>624</v>
      </c>
      <c r="F261" s="91" t="s">
        <v>633</v>
      </c>
      <c r="G261" s="80">
        <f>H261</f>
        <v>200000</v>
      </c>
      <c r="H261" s="81">
        <v>200000</v>
      </c>
      <c r="I261" s="82"/>
      <c r="J261" s="83"/>
    </row>
    <row r="262" spans="1:11" ht="75" x14ac:dyDescent="0.3">
      <c r="A262" s="23" t="s">
        <v>387</v>
      </c>
      <c r="B262" s="17" t="s">
        <v>388</v>
      </c>
      <c r="C262" s="17" t="s">
        <v>96</v>
      </c>
      <c r="D262" s="136" t="s">
        <v>389</v>
      </c>
      <c r="E262" s="19" t="s">
        <v>625</v>
      </c>
      <c r="F262" s="91" t="s">
        <v>631</v>
      </c>
      <c r="G262" s="80">
        <f t="shared" si="9"/>
        <v>400000</v>
      </c>
      <c r="H262" s="81">
        <f>200000+200000</f>
        <v>400000</v>
      </c>
      <c r="I262" s="82"/>
      <c r="J262" s="83"/>
    </row>
    <row r="263" spans="1:11" ht="75" x14ac:dyDescent="0.3">
      <c r="A263" s="23" t="s">
        <v>387</v>
      </c>
      <c r="B263" s="17" t="s">
        <v>388</v>
      </c>
      <c r="C263" s="17" t="s">
        <v>96</v>
      </c>
      <c r="D263" s="136" t="s">
        <v>389</v>
      </c>
      <c r="E263" s="19" t="s">
        <v>661</v>
      </c>
      <c r="F263" s="91" t="s">
        <v>662</v>
      </c>
      <c r="G263" s="80">
        <f t="shared" si="9"/>
        <v>110000</v>
      </c>
      <c r="H263" s="81"/>
      <c r="I263" s="82">
        <v>110000</v>
      </c>
      <c r="J263" s="83">
        <f>I263</f>
        <v>110000</v>
      </c>
    </row>
    <row r="264" spans="1:11" ht="75" x14ac:dyDescent="0.3">
      <c r="A264" s="23" t="s">
        <v>387</v>
      </c>
      <c r="B264" s="17" t="s">
        <v>388</v>
      </c>
      <c r="C264" s="17" t="s">
        <v>96</v>
      </c>
      <c r="D264" s="136" t="s">
        <v>389</v>
      </c>
      <c r="E264" s="19" t="s">
        <v>626</v>
      </c>
      <c r="F264" s="91" t="s">
        <v>630</v>
      </c>
      <c r="G264" s="80">
        <f t="shared" si="9"/>
        <v>300000</v>
      </c>
      <c r="H264" s="81">
        <v>300000</v>
      </c>
      <c r="I264" s="82"/>
      <c r="J264" s="83"/>
    </row>
    <row r="265" spans="1:11" ht="75" x14ac:dyDescent="0.3">
      <c r="A265" s="23" t="s">
        <v>387</v>
      </c>
      <c r="B265" s="17" t="s">
        <v>388</v>
      </c>
      <c r="C265" s="17" t="s">
        <v>96</v>
      </c>
      <c r="D265" s="136" t="s">
        <v>389</v>
      </c>
      <c r="E265" s="19" t="s">
        <v>627</v>
      </c>
      <c r="F265" s="91" t="s">
        <v>632</v>
      </c>
      <c r="G265" s="80">
        <f t="shared" si="9"/>
        <v>109400</v>
      </c>
      <c r="H265" s="81"/>
      <c r="I265" s="82">
        <v>109400</v>
      </c>
      <c r="J265" s="83">
        <f>I265</f>
        <v>109400</v>
      </c>
    </row>
    <row r="266" spans="1:11" ht="75" hidden="1" x14ac:dyDescent="0.3">
      <c r="A266" s="23" t="s">
        <v>387</v>
      </c>
      <c r="B266" s="17" t="s">
        <v>388</v>
      </c>
      <c r="C266" s="17" t="s">
        <v>96</v>
      </c>
      <c r="D266" s="136" t="s">
        <v>389</v>
      </c>
      <c r="E266" s="19"/>
      <c r="F266" s="91"/>
      <c r="G266" s="80">
        <f t="shared" si="9"/>
        <v>0</v>
      </c>
      <c r="H266" s="81"/>
      <c r="I266" s="82"/>
      <c r="J266" s="83">
        <f>I266</f>
        <v>0</v>
      </c>
    </row>
    <row r="267" spans="1:11" ht="75" hidden="1" x14ac:dyDescent="0.3">
      <c r="A267" s="86" t="s">
        <v>387</v>
      </c>
      <c r="B267" s="87" t="s">
        <v>388</v>
      </c>
      <c r="C267" s="87" t="s">
        <v>96</v>
      </c>
      <c r="D267" s="137" t="s">
        <v>389</v>
      </c>
      <c r="E267" s="94"/>
      <c r="F267" s="91"/>
      <c r="G267" s="80">
        <f t="shared" si="9"/>
        <v>0</v>
      </c>
      <c r="H267" s="81"/>
      <c r="I267" s="82"/>
      <c r="J267" s="83"/>
    </row>
    <row r="268" spans="1:11" ht="34.9" customHeight="1" thickBot="1" x14ac:dyDescent="0.35">
      <c r="A268" s="59"/>
      <c r="B268" s="60"/>
      <c r="C268" s="60"/>
      <c r="D268" s="154" t="s">
        <v>317</v>
      </c>
      <c r="E268" s="101"/>
      <c r="F268" s="76"/>
      <c r="G268" s="61">
        <f>I268+H268</f>
        <v>660636219</v>
      </c>
      <c r="H268" s="61">
        <f>H15+H71+H80+H111+H146+H150+H158+H169+H192+H241+H255</f>
        <v>268522176</v>
      </c>
      <c r="I268" s="61">
        <f>I15+I71+I80+I111+I146+I150+I158+I169+I192+I241+I255</f>
        <v>392114043</v>
      </c>
      <c r="J268" s="62">
        <f>J15+J80+J111+J169+J192+J241+J255+J158++J146</f>
        <v>286938455</v>
      </c>
      <c r="K268" s="112"/>
    </row>
    <row r="269" spans="1:11" x14ac:dyDescent="0.2">
      <c r="D269" s="138"/>
      <c r="I269" s="139"/>
      <c r="J269" s="139"/>
    </row>
    <row r="270" spans="1:11" x14ac:dyDescent="0.2">
      <c r="G270" s="112"/>
      <c r="J270" s="139"/>
    </row>
    <row r="271" spans="1:11" ht="21.75" customHeight="1" x14ac:dyDescent="0.3">
      <c r="A271" s="24"/>
      <c r="B271" s="120" t="s">
        <v>485</v>
      </c>
      <c r="C271" s="140"/>
      <c r="D271" s="120"/>
      <c r="E271" s="120"/>
      <c r="F271" s="121"/>
      <c r="G271" s="121"/>
      <c r="H271" s="141"/>
      <c r="I271" s="120" t="s">
        <v>486</v>
      </c>
      <c r="J271" s="120"/>
    </row>
    <row r="272" spans="1:11" ht="18.75" x14ac:dyDescent="0.3">
      <c r="A272" s="24"/>
      <c r="B272" s="120"/>
      <c r="C272" s="120"/>
      <c r="D272" s="120"/>
      <c r="E272" s="120"/>
      <c r="F272" s="121"/>
      <c r="G272" s="121"/>
      <c r="H272" s="120"/>
      <c r="I272" s="120"/>
      <c r="J272" s="120"/>
    </row>
    <row r="273" spans="1:10" ht="24" customHeight="1" x14ac:dyDescent="0.3">
      <c r="A273" s="24"/>
      <c r="B273" s="173" t="s">
        <v>490</v>
      </c>
      <c r="C273" s="173"/>
      <c r="D273" s="173"/>
      <c r="E273" s="120"/>
      <c r="F273" s="121"/>
      <c r="G273" s="121"/>
      <c r="H273" s="120"/>
      <c r="I273" s="120" t="s">
        <v>491</v>
      </c>
      <c r="J273" s="120"/>
    </row>
    <row r="275" spans="1:10" ht="12.75" hidden="1" customHeight="1" x14ac:dyDescent="0.2"/>
    <row r="280" spans="1:10" x14ac:dyDescent="0.2">
      <c r="H280" s="139"/>
    </row>
  </sheetData>
  <sheetProtection selectLockedCells="1" selectUnlockedCells="1"/>
  <mergeCells count="26">
    <mergeCell ref="B273:D273"/>
    <mergeCell ref="E124:E126"/>
    <mergeCell ref="F124:F126"/>
    <mergeCell ref="E161:E167"/>
    <mergeCell ref="F162:F165"/>
    <mergeCell ref="E43:E45"/>
    <mergeCell ref="F12:F13"/>
    <mergeCell ref="G12:G13"/>
    <mergeCell ref="E112:E118"/>
    <mergeCell ref="F113:F118"/>
    <mergeCell ref="F44:F45"/>
    <mergeCell ref="F46:F47"/>
    <mergeCell ref="F48:F49"/>
    <mergeCell ref="F75:F76"/>
    <mergeCell ref="E24:E25"/>
    <mergeCell ref="F24:F25"/>
    <mergeCell ref="H5:J6"/>
    <mergeCell ref="A7:J7"/>
    <mergeCell ref="A8:J8"/>
    <mergeCell ref="A12:A13"/>
    <mergeCell ref="B12:B13"/>
    <mergeCell ref="C12:C13"/>
    <mergeCell ref="D12:D13"/>
    <mergeCell ref="E12:E13"/>
    <mergeCell ref="H12:H13"/>
    <mergeCell ref="I12:J12"/>
  </mergeCells>
  <phoneticPr fontId="0" type="noConversion"/>
  <printOptions horizontalCentered="1"/>
  <pageMargins left="0.43307086614173229" right="7.874015748031496E-2" top="0.39370078740157483" bottom="0.35433070866141736" header="0.11811023622047245" footer="0.31496062992125984"/>
  <pageSetup paperSize="9" scale="46" firstPageNumber="0" fitToHeight="7" orientation="landscape" r:id="rId1"/>
  <headerFooter differentFirst="1" alignWithMargins="0">
    <oddHeader>&amp;RПродовження додатка</oddHeader>
  </headerFooter>
  <rowBreaks count="2" manualBreakCount="2">
    <brk id="108" max="9" man="1"/>
    <brk id="19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2021-12-13T14:01:49Z</cp:lastPrinted>
  <dcterms:created xsi:type="dcterms:W3CDTF">2016-01-05T10:54:52Z</dcterms:created>
  <dcterms:modified xsi:type="dcterms:W3CDTF">2021-12-15T12:09:07Z</dcterms:modified>
</cp:coreProperties>
</file>